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ользователь\YandexDisk-id-user10@gisgkx.ru\Железина\ООО_Иртыш-4\"/>
    </mc:Choice>
  </mc:AlternateContent>
  <bookViews>
    <workbookView xWindow="0" yWindow="0" windowWidth="28800" windowHeight="12030"/>
  </bookViews>
  <sheets>
    <sheet name="Отчет об управлении" sheetId="1" r:id="rId1"/>
  </sheets>
  <calcPr calcId="162913" refMode="R1C1"/>
</workbook>
</file>

<file path=xl/calcChain.xml><?xml version="1.0" encoding="utf-8"?>
<calcChain xmlns="http://schemas.openxmlformats.org/spreadsheetml/2006/main">
  <c r="V74" i="1" l="1"/>
  <c r="H74" i="1"/>
  <c r="L71" i="1"/>
  <c r="K71" i="1" s="1"/>
  <c r="J71" i="1" s="1"/>
  <c r="Y71" i="1" s="1"/>
  <c r="L70" i="1"/>
  <c r="K70" i="1" s="1"/>
  <c r="J70" i="1" s="1"/>
  <c r="Y70" i="1" s="1"/>
  <c r="L69" i="1"/>
  <c r="K69" i="1" s="1"/>
  <c r="J69" i="1" s="1"/>
  <c r="Y69" i="1" s="1"/>
  <c r="L68" i="1"/>
  <c r="K68" i="1" s="1"/>
  <c r="J68" i="1" s="1"/>
  <c r="Y68" i="1" s="1"/>
  <c r="L67" i="1"/>
  <c r="K67" i="1" s="1"/>
  <c r="J67" i="1" s="1"/>
  <c r="Y67" i="1" s="1"/>
  <c r="L66" i="1"/>
  <c r="K66" i="1" s="1"/>
  <c r="J66" i="1" s="1"/>
  <c r="Y66" i="1" s="1"/>
  <c r="L65" i="1"/>
  <c r="K65" i="1"/>
  <c r="J65" i="1" s="1"/>
  <c r="Y65" i="1" s="1"/>
  <c r="N71" i="1"/>
  <c r="T71" i="1" s="1"/>
  <c r="N70" i="1"/>
  <c r="T70" i="1" s="1"/>
  <c r="N69" i="1"/>
  <c r="T69" i="1" s="1"/>
  <c r="N68" i="1"/>
  <c r="T68" i="1" s="1"/>
  <c r="N67" i="1"/>
  <c r="T67" i="1" s="1"/>
  <c r="N66" i="1"/>
  <c r="T66" i="1" s="1"/>
  <c r="N65" i="1"/>
  <c r="T65" i="1" s="1"/>
  <c r="R39" i="1"/>
  <c r="L39" i="1"/>
  <c r="K39" i="1" s="1"/>
  <c r="R38" i="1"/>
  <c r="L38" i="1"/>
  <c r="K38" i="1" s="1"/>
  <c r="L37" i="1"/>
  <c r="K37" i="1" s="1"/>
  <c r="L36" i="1"/>
  <c r="K36" i="1" s="1"/>
  <c r="L35" i="1"/>
  <c r="K35" i="1" s="1"/>
  <c r="R34" i="1"/>
  <c r="L34" i="1"/>
  <c r="K34" i="1" s="1"/>
  <c r="L33" i="1"/>
  <c r="K33" i="1" s="1"/>
  <c r="L32" i="1"/>
  <c r="K32" i="1" s="1"/>
  <c r="L31" i="1"/>
  <c r="K31" i="1" s="1"/>
  <c r="L30" i="1"/>
  <c r="K30" i="1" s="1"/>
  <c r="L29" i="1"/>
  <c r="K29" i="1" s="1"/>
  <c r="L28" i="1"/>
  <c r="K28" i="1" s="1"/>
  <c r="L27" i="1"/>
  <c r="K27" i="1" s="1"/>
  <c r="R26" i="1"/>
  <c r="L26" i="1"/>
  <c r="K26" i="1" s="1"/>
  <c r="R25" i="1"/>
  <c r="L25" i="1"/>
  <c r="K25" i="1" s="1"/>
  <c r="R24" i="1"/>
  <c r="L24" i="1"/>
  <c r="K24" i="1" s="1"/>
  <c r="R23" i="1"/>
  <c r="L23" i="1"/>
  <c r="K23" i="1" s="1"/>
  <c r="L22" i="1"/>
  <c r="K22" i="1" s="1"/>
  <c r="L21" i="1"/>
  <c r="K21" i="1" s="1"/>
  <c r="L20" i="1"/>
  <c r="K20" i="1" s="1"/>
  <c r="L19" i="1"/>
  <c r="K19" i="1" s="1"/>
  <c r="R18" i="1"/>
  <c r="L18" i="1"/>
  <c r="K18" i="1" s="1"/>
  <c r="R17" i="1"/>
  <c r="L17" i="1"/>
  <c r="K17" i="1" s="1"/>
  <c r="R16" i="1"/>
  <c r="L16" i="1"/>
  <c r="K16" i="1" s="1"/>
  <c r="R15" i="1"/>
  <c r="L15" i="1"/>
  <c r="K15" i="1" s="1"/>
  <c r="L14" i="1"/>
  <c r="K14" i="1" s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Z71" i="1" l="1"/>
  <c r="Z70" i="1"/>
  <c r="Z69" i="1"/>
  <c r="Z68" i="1"/>
  <c r="Z67" i="1"/>
  <c r="Z66" i="1"/>
  <c r="Z65" i="1"/>
  <c r="L13" i="1"/>
  <c r="K13" i="1" s="1"/>
  <c r="N31" i="1" l="1"/>
  <c r="T31" i="1" s="1"/>
  <c r="J31" i="1"/>
  <c r="Y31" i="1" s="1"/>
  <c r="J38" i="1" l="1"/>
  <c r="Y38" i="1" s="1"/>
  <c r="J37" i="1" l="1"/>
  <c r="Y37" i="1" s="1"/>
  <c r="N39" i="1"/>
  <c r="Z39" i="1" s="1"/>
  <c r="N38" i="1"/>
  <c r="Z38" i="1" s="1"/>
  <c r="N37" i="1"/>
  <c r="Z37" i="1" s="1"/>
  <c r="N36" i="1"/>
  <c r="Z36" i="1" s="1"/>
  <c r="N35" i="1"/>
  <c r="Z35" i="1" s="1"/>
  <c r="N34" i="1"/>
  <c r="Z34" i="1" s="1"/>
  <c r="N33" i="1"/>
  <c r="Z33" i="1" s="1"/>
  <c r="N32" i="1"/>
  <c r="Z32" i="1" s="1"/>
  <c r="Z31" i="1"/>
  <c r="N30" i="1"/>
  <c r="Z30" i="1" s="1"/>
  <c r="N29" i="1"/>
  <c r="Z29" i="1" s="1"/>
  <c r="N28" i="1"/>
  <c r="Z28" i="1" s="1"/>
  <c r="N27" i="1"/>
  <c r="Z27" i="1" s="1"/>
  <c r="N26" i="1"/>
  <c r="N25" i="1"/>
  <c r="Z25" i="1" s="1"/>
  <c r="N24" i="1"/>
  <c r="Z24" i="1" s="1"/>
  <c r="N23" i="1"/>
  <c r="Z23" i="1" s="1"/>
  <c r="N22" i="1"/>
  <c r="Z22" i="1" s="1"/>
  <c r="N21" i="1"/>
  <c r="Z21" i="1" s="1"/>
  <c r="N20" i="1"/>
  <c r="Z20" i="1" s="1"/>
  <c r="N19" i="1"/>
  <c r="Z19" i="1" s="1"/>
  <c r="N13" i="1"/>
  <c r="N17" i="1"/>
  <c r="Z17" i="1" s="1"/>
  <c r="N16" i="1"/>
  <c r="Z16" i="1" s="1"/>
  <c r="N15" i="1"/>
  <c r="Z15" i="1" s="1"/>
  <c r="N14" i="1"/>
  <c r="Z14" i="1" s="1"/>
  <c r="J18" i="1"/>
  <c r="Y18" i="1" s="1"/>
  <c r="J36" i="1"/>
  <c r="Y36" i="1" s="1"/>
  <c r="J35" i="1"/>
  <c r="Y35" i="1" s="1"/>
  <c r="J34" i="1"/>
  <c r="Y34" i="1" s="1"/>
  <c r="J33" i="1"/>
  <c r="Y33" i="1" s="1"/>
  <c r="J32" i="1"/>
  <c r="Y32" i="1" s="1"/>
  <c r="J14" i="1"/>
  <c r="Y14" i="1" s="1"/>
  <c r="N18" i="1"/>
  <c r="T39" i="1"/>
  <c r="T29" i="1" l="1"/>
  <c r="T38" i="1"/>
  <c r="T24" i="1"/>
  <c r="T25" i="1"/>
  <c r="T14" i="1"/>
  <c r="T16" i="1"/>
  <c r="T15" i="1"/>
  <c r="T19" i="1"/>
  <c r="T37" i="1"/>
  <c r="T36" i="1"/>
  <c r="T35" i="1"/>
  <c r="T34" i="1"/>
  <c r="T23" i="1"/>
  <c r="T21" i="1"/>
  <c r="T22" i="1"/>
  <c r="T32" i="1"/>
  <c r="T33" i="1"/>
  <c r="T30" i="1"/>
  <c r="T28" i="1"/>
  <c r="T17" i="1"/>
  <c r="T20" i="1"/>
  <c r="T27" i="1"/>
  <c r="T18" i="1"/>
  <c r="Z18" i="1"/>
  <c r="T13" i="1"/>
  <c r="Z13" i="1"/>
  <c r="T26" i="1"/>
  <c r="Z26" i="1"/>
  <c r="J39" i="1"/>
  <c r="Y39" i="1" s="1"/>
  <c r="J30" i="1"/>
  <c r="Y30" i="1" s="1"/>
  <c r="J29" i="1"/>
  <c r="Y29" i="1" s="1"/>
  <c r="J27" i="1"/>
  <c r="Y27" i="1" s="1"/>
  <c r="J26" i="1"/>
  <c r="Y26" i="1" s="1"/>
  <c r="J25" i="1"/>
  <c r="Y25" i="1" s="1"/>
  <c r="J24" i="1"/>
  <c r="Y24" i="1" s="1"/>
  <c r="J23" i="1"/>
  <c r="Y23" i="1" s="1"/>
  <c r="J22" i="1"/>
  <c r="Y22" i="1" s="1"/>
  <c r="J21" i="1"/>
  <c r="Y21" i="1" s="1"/>
  <c r="J20" i="1"/>
  <c r="Y20" i="1" s="1"/>
  <c r="J19" i="1"/>
  <c r="Y19" i="1" s="1"/>
  <c r="J17" i="1"/>
  <c r="Y17" i="1" s="1"/>
  <c r="J16" i="1"/>
  <c r="Y16" i="1" s="1"/>
  <c r="J15" i="1"/>
  <c r="Y15" i="1" s="1"/>
  <c r="J13" i="1"/>
  <c r="Y13" i="1" s="1"/>
  <c r="J28" i="1"/>
  <c r="Y28" i="1" s="1"/>
</calcChain>
</file>

<file path=xl/sharedStrings.xml><?xml version="1.0" encoding="utf-8"?>
<sst xmlns="http://schemas.openxmlformats.org/spreadsheetml/2006/main" count="115" uniqueCount="78">
  <si>
    <t>АСУ «Жилищный стандарт»</t>
  </si>
  <si>
    <t>Сведения о многоквартирных домах</t>
  </si>
  <si>
    <t>Отчет об управлении — общая информация</t>
  </si>
  <si>
    <t>Отчетный период</t>
  </si>
  <si>
    <t>2016-01-01 - 2016-12-31</t>
  </si>
  <si>
    <t>На начало периода</t>
  </si>
  <si>
    <t>Начислено за услуги (работы)</t>
  </si>
  <si>
    <t>Получено денежных средств</t>
  </si>
  <si>
    <t>Всего денежных средств с учетом остатков</t>
  </si>
  <si>
    <t>На конец периода</t>
  </si>
  <si>
    <t>Адрес многоквартирного дома</t>
  </si>
  <si>
    <t>Авансовые платежи потребителей</t>
  </si>
  <si>
    <t>Переходящие остатки денежных средств</t>
  </si>
  <si>
    <t>Задолженность потребителей</t>
  </si>
  <si>
    <t>Начислено всего</t>
  </si>
  <si>
    <t>Получено всего</t>
  </si>
  <si>
    <t>Целевых взносов от собственников</t>
  </si>
  <si>
    <t>Субсидий</t>
  </si>
  <si>
    <t>От использования общего имущества</t>
  </si>
  <si>
    <t>Прочие поступления</t>
  </si>
  <si>
    <t>id</t>
  </si>
  <si>
    <t>Город</t>
  </si>
  <si>
    <t>Улица</t>
  </si>
  <si>
    <t>Номер</t>
  </si>
  <si>
    <t>Литера</t>
  </si>
  <si>
    <t>Корпус</t>
  </si>
  <si>
    <t>а</t>
  </si>
  <si>
    <t>Полторацкого</t>
  </si>
  <si>
    <t xml:space="preserve">Кт с-до                   на начало </t>
  </si>
  <si>
    <t xml:space="preserve">Дт с-до      на начало </t>
  </si>
  <si>
    <t>доля в тарифе* S*12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</si>
  <si>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</si>
  <si>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</si>
  <si>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</si>
  <si>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</si>
  <si>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</si>
  <si>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</si>
  <si>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</si>
  <si>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</si>
  <si>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</si>
  <si>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</si>
  <si>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</si>
  <si>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</si>
  <si>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</si>
  <si>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</si>
  <si>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</si>
  <si>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</si>
  <si>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</si>
  <si>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</si>
  <si>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</si>
  <si>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гр.7 Доходы (Карточка)</t>
  </si>
  <si>
    <t>Кт с-до на конец</t>
  </si>
  <si>
    <t>Дт с-до на конец</t>
  </si>
  <si>
    <t>гр.11+гр.5</t>
  </si>
  <si>
    <t>гр. Итого  Доходов (Карточка)</t>
  </si>
  <si>
    <t>гр.4 факт поступило (Карточка)</t>
  </si>
  <si>
    <t>гр.3 Начислено (Карточка)</t>
  </si>
  <si>
    <t>гр.3 Начислено -гр.9  -гр.10</t>
  </si>
  <si>
    <r>
      <t>За содержание дома                          (</t>
    </r>
    <r>
      <rPr>
        <sz val="8"/>
        <color rgb="FF000000"/>
        <rFont val="Arial"/>
        <family val="2"/>
        <charset val="204"/>
      </rPr>
      <t>из Карточки)</t>
    </r>
  </si>
  <si>
    <r>
      <t xml:space="preserve">За текущий ремонт          </t>
    </r>
    <r>
      <rPr>
        <sz val="7"/>
        <color rgb="FF000000"/>
        <rFont val="Arial"/>
        <family val="2"/>
        <charset val="204"/>
      </rPr>
      <t xml:space="preserve"> (из разложения)*12</t>
    </r>
  </si>
  <si>
    <r>
      <t xml:space="preserve">За услуги управления         </t>
    </r>
    <r>
      <rPr>
        <sz val="7"/>
        <color rgb="FF000000"/>
        <rFont val="Arial"/>
        <family val="2"/>
        <charset val="204"/>
      </rPr>
      <t>(из разложения*12)</t>
    </r>
  </si>
  <si>
    <t>От собственников   (из Карточки)</t>
  </si>
  <si>
    <t>Проверка</t>
  </si>
  <si>
    <t>Демьяна Бедного</t>
  </si>
  <si>
    <t>Киевская</t>
  </si>
  <si>
    <t>49/1</t>
  </si>
  <si>
    <t>56А</t>
  </si>
  <si>
    <t>Теплично-парниковый комбинат</t>
  </si>
  <si>
    <t>Чередовая 10-я</t>
  </si>
  <si>
    <t>Чередовая 14-я</t>
  </si>
  <si>
    <t>Чередовая 6-я</t>
  </si>
  <si>
    <t>ООО "Иртыш-4" (ИНН 5505221096)</t>
  </si>
  <si>
    <t>К-Финская</t>
  </si>
  <si>
    <t>НФУ</t>
  </si>
  <si>
    <t>Латвийская</t>
  </si>
  <si>
    <t>Проверка доход</t>
  </si>
  <si>
    <t>кв.плата на 0</t>
  </si>
  <si>
    <t>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</si>
</sst>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sz val="18"/>
      <color rgb="FF000000"/>
      <name val="Arial"/>
    </font>
    <font>
      <sz val="14"/>
      <color rgb="FF000000"/>
      <name val="Arial"/>
    </font>
    <font>
      <b/>
      <sz val="12"/>
      <color rgb="FF0099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7"/>
      <color rgb="FF000000"/>
      <name val="Arial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DB5E"/>
        <bgColor indexed="64"/>
      </patternFill>
    </fill>
    <fill>
      <patternFill patternType="solid">
        <fgColor rgb="FFFFFF00"/>
        <bgColor rgb="FFFFFFCC"/>
      </patternFill>
    </fill>
  </fills>
  <borders count="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2" borderId="0" xfId="0" applyFill="1" applyProtection="1"/>
    <xf numFmtId="0" fontId="0" fillId="2" borderId="0" xfId="0" applyFill="1" applyProtection="1">
      <protection locked="0"/>
    </xf>
    <xf numFmtId="49" fontId="0" fillId="2" borderId="0" xfId="0" applyNumberFormat="1" applyFill="1" applyProtection="1"/>
    <xf numFmtId="49" fontId="0" fillId="2" borderId="0" xfId="0" applyNumberFormat="1" applyFill="1" applyProtection="1"/>
    <xf numFmtId="49" fontId="1" fillId="2" borderId="0" xfId="0" applyNumberFormat="1" applyFont="1" applyFill="1" applyProtection="1"/>
    <xf numFmtId="49" fontId="2" fillId="2" borderId="0" xfId="0" applyNumberFormat="1" applyFont="1" applyFill="1" applyProtection="1"/>
    <xf numFmtId="49" fontId="3" fillId="2" borderId="0" xfId="0" applyNumberFormat="1" applyFont="1" applyFill="1" applyProtection="1"/>
    <xf numFmtId="49" fontId="4" fillId="3" borderId="1" xfId="0" applyNumberFormat="1" applyFont="1" applyFill="1" applyBorder="1" applyAlignment="1" applyProtection="1">
      <alignment wrapText="1"/>
    </xf>
    <xf numFmtId="49" fontId="5" fillId="3" borderId="1" xfId="0" applyNumberFormat="1" applyFont="1" applyFill="1" applyBorder="1" applyProtection="1"/>
    <xf numFmtId="49" fontId="0" fillId="2" borderId="0" xfId="0" applyNumberFormat="1" applyFill="1" applyAlignment="1" applyProtection="1">
      <alignment wrapText="1"/>
    </xf>
    <xf numFmtId="49" fontId="0" fillId="2" borderId="0" xfId="0" applyNumberFormat="1" applyFill="1" applyAlignment="1" applyProtection="1">
      <alignment horizontal="center" vertical="center" wrapText="1"/>
    </xf>
    <xf numFmtId="4" fontId="0" fillId="2" borderId="0" xfId="0" applyNumberFormat="1" applyFill="1" applyProtection="1">
      <protection locked="0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9" fontId="0" fillId="2" borderId="0" xfId="0" applyNumberFormat="1" applyFill="1" applyBorder="1" applyProtection="1"/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horizontal="center" vertical="center" wrapText="1"/>
    </xf>
    <xf numFmtId="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9" fillId="2" borderId="0" xfId="0" applyNumberFormat="1" applyFont="1" applyFill="1" applyAlignment="1" applyProtection="1">
      <alignment horizontal="center" vertical="center" wrapText="1"/>
    </xf>
    <xf numFmtId="49" fontId="9" fillId="5" borderId="2" xfId="0" applyNumberFormat="1" applyFont="1" applyFill="1" applyBorder="1" applyAlignment="1" applyProtection="1">
      <alignment horizontal="center" vertical="center" wrapText="1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4" borderId="2" xfId="0" applyFont="1" applyFill="1" applyBorder="1" applyAlignment="1" applyProtection="1">
      <alignment horizontal="center" vertical="center" wrapText="1"/>
    </xf>
    <xf numFmtId="49" fontId="10" fillId="5" borderId="2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49" fontId="11" fillId="4" borderId="2" xfId="0" applyNumberFormat="1" applyFont="1" applyFill="1" applyBorder="1" applyAlignment="1" applyProtection="1">
      <alignment horizontal="center" vertical="center" wrapText="1"/>
    </xf>
    <xf numFmtId="4" fontId="8" fillId="2" borderId="2" xfId="0" applyNumberFormat="1" applyFont="1" applyFill="1" applyBorder="1" applyProtection="1">
      <protection locked="0"/>
    </xf>
    <xf numFmtId="4" fontId="0" fillId="7" borderId="2" xfId="0" applyNumberFormat="1" applyFill="1" applyBorder="1" applyProtection="1">
      <protection locked="0"/>
    </xf>
    <xf numFmtId="49" fontId="0" fillId="7" borderId="0" xfId="0" applyNumberFormat="1" applyFill="1" applyBorder="1" applyProtection="1"/>
    <xf numFmtId="0" fontId="0" fillId="7" borderId="0" xfId="0" applyFill="1" applyBorder="1" applyProtection="1"/>
    <xf numFmtId="0" fontId="0" fillId="7" borderId="4" xfId="0" applyFill="1" applyBorder="1" applyProtection="1"/>
    <xf numFmtId="49" fontId="0" fillId="7" borderId="4" xfId="0" applyNumberFormat="1" applyFill="1" applyBorder="1" applyAlignment="1" applyProtection="1">
      <alignment wrapText="1"/>
    </xf>
    <xf numFmtId="49" fontId="0" fillId="7" borderId="4" xfId="0" applyNumberFormat="1" applyFill="1" applyBorder="1" applyAlignment="1" applyProtection="1">
      <alignment horizontal="center" vertical="center" wrapText="1"/>
    </xf>
    <xf numFmtId="49" fontId="9" fillId="7" borderId="4" xfId="0" applyNumberFormat="1" applyFont="1" applyFill="1" applyBorder="1" applyAlignment="1" applyProtection="1">
      <alignment horizontal="center" vertical="center" wrapText="1"/>
    </xf>
    <xf numFmtId="4" fontId="0" fillId="7" borderId="4" xfId="0" applyNumberFormat="1" applyFill="1" applyBorder="1" applyProtection="1">
      <protection locked="0"/>
    </xf>
    <xf numFmtId="4" fontId="0" fillId="7" borderId="0" xfId="0" applyNumberFormat="1" applyFill="1" applyBorder="1" applyProtection="1">
      <protection locked="0"/>
    </xf>
    <xf numFmtId="0" fontId="0" fillId="7" borderId="0" xfId="0" applyFill="1" applyBorder="1" applyProtection="1">
      <protection locked="0"/>
    </xf>
    <xf numFmtId="4" fontId="0" fillId="0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" fontId="0" fillId="7" borderId="0" xfId="0" applyNumberFormat="1" applyFill="1" applyProtection="1">
      <protection locked="0"/>
    </xf>
    <xf numFmtId="4" fontId="0" fillId="8" borderId="2" xfId="0" applyNumberFormat="1" applyFill="1" applyBorder="1" applyProtection="1">
      <protection locked="0"/>
    </xf>
    <xf numFmtId="0" fontId="6" fillId="4" borderId="0" xfId="0" applyFont="1" applyFill="1" applyBorder="1" applyAlignment="1" applyProtection="1">
      <alignment horizontal="center" vertical="center"/>
    </xf>
    <xf numFmtId="49" fontId="0" fillId="4" borderId="0" xfId="0" applyNumberFormat="1" applyFill="1" applyBorder="1" applyAlignment="1" applyProtection="1">
      <alignment horizontal="center" vertical="center" wrapText="1"/>
    </xf>
    <xf numFmtId="49" fontId="9" fillId="4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" fontId="0" fillId="2" borderId="4" xfId="0" applyNumberFormat="1" applyFill="1" applyBorder="1" applyProtection="1">
      <protection locked="0"/>
    </xf>
    <xf numFmtId="0" fontId="0" fillId="9" borderId="4" xfId="0" applyFill="1" applyBorder="1" applyProtection="1"/>
    <xf numFmtId="49" fontId="0" fillId="9" borderId="4" xfId="0" applyNumberFormat="1" applyFill="1" applyBorder="1" applyAlignment="1" applyProtection="1">
      <alignment horizontal="center" vertical="center" wrapText="1"/>
    </xf>
    <xf numFmtId="49" fontId="9" fillId="9" borderId="4" xfId="0" applyNumberFormat="1" applyFont="1" applyFill="1" applyBorder="1" applyAlignment="1" applyProtection="1">
      <alignment horizontal="center" vertical="center" wrapText="1"/>
    </xf>
    <xf numFmtId="49" fontId="0" fillId="9" borderId="4" xfId="0" applyNumberForma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/>
    <xf numFmtId="0" fontId="0" fillId="8" borderId="2" xfId="0" applyFill="1" applyBorder="1" applyProtection="1">
      <protection locked="0"/>
    </xf>
    <xf numFmtId="4" fontId="0" fillId="8" borderId="7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9" fontId="7" fillId="10" borderId="3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Protection="1">
      <protection locked="0"/>
    </xf>
    <xf numFmtId="49" fontId="0" fillId="4" borderId="5" xfId="0" applyNumberFormat="1" applyFill="1" applyBorder="1" applyAlignment="1" applyProtection="1">
      <alignment horizontal="center" vertical="center" wrapText="1"/>
    </xf>
    <xf numFmtId="49" fontId="0" fillId="4" borderId="6" xfId="0" applyNumberForma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colors>
    <mruColors>
      <color rgb="FF45DB5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74"/>
  <sheetViews>
    <sheetView tabSelected="1" topLeftCell="B1" workbookViewId="0">
      <pane xSplit="4" ySplit="11" topLeftCell="Q39" activePane="bottomRight" state="frozen"/>
      <selection activeCell="B1" sqref="B1"/>
      <selection pane="topRight" activeCell="F1" sqref="F1"/>
      <selection pane="bottomLeft" activeCell="B12" sqref="B12"/>
      <selection pane="bottomRight" activeCell="B11" sqref="B11"/>
    </sheetView>
  </sheetViews>
  <sheetFormatPr defaultRowHeight="12.75" x14ac:dyDescent="0.2"/>
  <cols>
    <col min="1" max="1" width="0" style="1" hidden="1" customWidth="1"/>
    <col min="2" max="2" width="14" style="1" customWidth="1"/>
    <col min="3" max="3" width="23" style="1" customWidth="1"/>
    <col min="4" max="6" width="5.140625" style="1" customWidth="1"/>
    <col min="7" max="8" width="13.7109375" style="1" customWidth="1"/>
    <col min="9" max="9" width="14.5703125" style="1" customWidth="1"/>
    <col min="10" max="23" width="13.7109375" style="1" customWidth="1"/>
    <col min="24" max="24" width="2.28515625" style="1" customWidth="1"/>
    <col min="25" max="25" width="13.7109375" style="1" customWidth="1"/>
    <col min="26" max="26" width="14.28515625" style="48" customWidth="1"/>
    <col min="27" max="39" width="11.5703125" style="23" customWidth="1"/>
    <col min="40" max="985" width="11.5703125" style="1" customWidth="1"/>
    <col min="986" max="1027" width="11.5703125" customWidth="1"/>
  </cols>
  <sheetData>
    <row r="1" spans="1:1026" s="2" customFormat="1" ht="12.75" hidden="1" customHeight="1" x14ac:dyDescent="0.2">
      <c r="B1" s="2" t="s">
        <v>0</v>
      </c>
      <c r="G1" s="3"/>
      <c r="X1" s="3"/>
      <c r="Y1" s="3"/>
      <c r="Z1" s="40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</row>
    <row r="2" spans="1:1026" s="3" customFormat="1" ht="0.4" hidden="1" customHeight="1" x14ac:dyDescent="0.2">
      <c r="A2" s="2"/>
      <c r="Z2" s="40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</row>
    <row r="3" spans="1:1026" ht="22.15" hidden="1" customHeight="1" x14ac:dyDescent="0.35">
      <c r="A3" s="2"/>
      <c r="B3" s="4" t="s">
        <v>1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41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</row>
    <row r="4" spans="1:1026" ht="17.45" hidden="1" customHeight="1" x14ac:dyDescent="0.25">
      <c r="A4" s="2"/>
      <c r="B4" s="5" t="s">
        <v>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41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</row>
    <row r="5" spans="1:1026" ht="15" hidden="1" customHeight="1" x14ac:dyDescent="0.25">
      <c r="A5" s="2"/>
      <c r="B5" s="6" t="s">
        <v>71</v>
      </c>
      <c r="C5" s="2"/>
      <c r="D5" s="2"/>
      <c r="E5" s="2"/>
      <c r="F5" s="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41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</row>
    <row r="6" spans="1:1026" ht="28.35" hidden="1" customHeight="1" x14ac:dyDescent="0.25">
      <c r="A6" s="2">
        <v>2</v>
      </c>
      <c r="B6" s="7" t="s">
        <v>3</v>
      </c>
      <c r="C6" s="8" t="s">
        <v>4</v>
      </c>
      <c r="D6" s="2"/>
      <c r="E6" s="2"/>
      <c r="F6" s="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 s="4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</row>
    <row r="7" spans="1:1026" ht="19.350000000000001" customHeight="1" x14ac:dyDescent="0.2">
      <c r="A7" s="2"/>
      <c r="B7" s="2"/>
      <c r="C7" s="2"/>
      <c r="D7" s="2"/>
      <c r="E7" s="2"/>
      <c r="F7" s="2"/>
      <c r="G7" s="76" t="s">
        <v>5</v>
      </c>
      <c r="H7" s="76"/>
      <c r="I7" s="76"/>
      <c r="J7" s="77" t="s">
        <v>6</v>
      </c>
      <c r="K7" s="77"/>
      <c r="L7" s="77"/>
      <c r="M7" s="77"/>
      <c r="N7" s="77" t="s">
        <v>7</v>
      </c>
      <c r="O7" s="77"/>
      <c r="P7" s="77"/>
      <c r="Q7" s="77"/>
      <c r="R7" s="77"/>
      <c r="S7" s="77"/>
      <c r="T7" s="78" t="s">
        <v>8</v>
      </c>
      <c r="U7" s="76" t="s">
        <v>9</v>
      </c>
      <c r="V7" s="76"/>
      <c r="W7" s="80"/>
      <c r="X7" s="54"/>
      <c r="Y7" s="59"/>
      <c r="Z7" s="4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</row>
    <row r="8" spans="1:1026" s="9" customFormat="1" ht="29.85" customHeight="1" x14ac:dyDescent="0.2">
      <c r="B8" s="71" t="s">
        <v>10</v>
      </c>
      <c r="C8" s="71"/>
      <c r="D8" s="71"/>
      <c r="E8" s="71"/>
      <c r="F8" s="71"/>
      <c r="G8" s="72" t="s">
        <v>11</v>
      </c>
      <c r="H8" s="72" t="s">
        <v>12</v>
      </c>
      <c r="I8" s="72" t="s">
        <v>13</v>
      </c>
      <c r="J8" s="74" t="s">
        <v>14</v>
      </c>
      <c r="K8" s="81" t="s">
        <v>58</v>
      </c>
      <c r="L8" s="81" t="s">
        <v>59</v>
      </c>
      <c r="M8" s="81" t="s">
        <v>60</v>
      </c>
      <c r="N8" s="82" t="s">
        <v>15</v>
      </c>
      <c r="O8" s="81" t="s">
        <v>61</v>
      </c>
      <c r="P8" s="72" t="s">
        <v>16</v>
      </c>
      <c r="Q8" s="72" t="s">
        <v>17</v>
      </c>
      <c r="R8" s="72" t="s">
        <v>18</v>
      </c>
      <c r="S8" s="72" t="s">
        <v>19</v>
      </c>
      <c r="T8" s="78"/>
      <c r="U8" s="72" t="s">
        <v>11</v>
      </c>
      <c r="V8" s="72" t="s">
        <v>12</v>
      </c>
      <c r="W8" s="69" t="s">
        <v>13</v>
      </c>
      <c r="X8" s="55"/>
      <c r="Y8" s="62" t="s">
        <v>62</v>
      </c>
      <c r="Z8" s="43" t="s">
        <v>75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s="10" customFormat="1" ht="23.85" customHeight="1" x14ac:dyDescent="0.2">
      <c r="A9" s="10" t="s">
        <v>20</v>
      </c>
      <c r="B9" s="12" t="s">
        <v>21</v>
      </c>
      <c r="C9" s="12" t="s">
        <v>22</v>
      </c>
      <c r="D9" s="67" t="s">
        <v>23</v>
      </c>
      <c r="E9" s="13" t="s">
        <v>24</v>
      </c>
      <c r="F9" s="13" t="s">
        <v>25</v>
      </c>
      <c r="G9" s="73"/>
      <c r="H9" s="73"/>
      <c r="I9" s="73"/>
      <c r="J9" s="75"/>
      <c r="K9" s="75"/>
      <c r="L9" s="75"/>
      <c r="M9" s="75"/>
      <c r="N9" s="75"/>
      <c r="O9" s="75"/>
      <c r="P9" s="75"/>
      <c r="Q9" s="75"/>
      <c r="R9" s="75"/>
      <c r="S9" s="75"/>
      <c r="T9" s="79"/>
      <c r="U9" s="73"/>
      <c r="V9" s="73"/>
      <c r="W9" s="70"/>
      <c r="X9" s="55"/>
      <c r="Y9" s="60" t="s">
        <v>76</v>
      </c>
      <c r="Z9" s="44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s="24" customFormat="1" ht="23.85" customHeight="1" x14ac:dyDescent="0.2">
      <c r="B10" s="30" t="s">
        <v>77</v>
      </c>
      <c r="C10" s="25"/>
      <c r="D10" s="25"/>
      <c r="E10" s="25"/>
      <c r="F10" s="25"/>
      <c r="G10" s="26" t="s">
        <v>28</v>
      </c>
      <c r="H10" s="26"/>
      <c r="I10" s="26" t="s">
        <v>29</v>
      </c>
      <c r="J10" s="26" t="s">
        <v>56</v>
      </c>
      <c r="K10" s="26" t="s">
        <v>57</v>
      </c>
      <c r="L10" s="26" t="s">
        <v>30</v>
      </c>
      <c r="M10" s="26" t="s">
        <v>30</v>
      </c>
      <c r="N10" s="37" t="s">
        <v>54</v>
      </c>
      <c r="O10" s="26" t="s">
        <v>55</v>
      </c>
      <c r="P10" s="26"/>
      <c r="Q10" s="26"/>
      <c r="R10" s="26" t="s">
        <v>50</v>
      </c>
      <c r="S10" s="26"/>
      <c r="T10" s="29" t="s">
        <v>53</v>
      </c>
      <c r="U10" s="26" t="s">
        <v>51</v>
      </c>
      <c r="V10" s="26"/>
      <c r="W10" s="26" t="s">
        <v>52</v>
      </c>
      <c r="X10" s="56"/>
      <c r="Y10" s="61"/>
      <c r="Z10" s="45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</row>
    <row r="11" spans="1:1026" s="24" customFormat="1" ht="12.75" customHeight="1" x14ac:dyDescent="0.2">
      <c r="B11" s="25" t="s">
        <v>31</v>
      </c>
      <c r="C11" s="25" t="s">
        <v>32</v>
      </c>
      <c r="D11" s="25" t="s">
        <v>33</v>
      </c>
      <c r="E11" s="25" t="s">
        <v>33</v>
      </c>
      <c r="F11" s="25" t="s">
        <v>33</v>
      </c>
      <c r="G11" s="26" t="s">
        <v>34</v>
      </c>
      <c r="H11" s="26" t="s">
        <v>35</v>
      </c>
      <c r="I11" s="26" t="s">
        <v>36</v>
      </c>
      <c r="J11" s="26" t="s">
        <v>37</v>
      </c>
      <c r="K11" s="26" t="s">
        <v>38</v>
      </c>
      <c r="L11" s="26" t="s">
        <v>39</v>
      </c>
      <c r="M11" s="26" t="s">
        <v>40</v>
      </c>
      <c r="N11" s="26" t="s">
        <v>41</v>
      </c>
      <c r="O11" s="26" t="s">
        <v>42</v>
      </c>
      <c r="P11" s="26" t="s">
        <v>43</v>
      </c>
      <c r="Q11" s="26" t="s">
        <v>44</v>
      </c>
      <c r="R11" s="26" t="s">
        <v>45</v>
      </c>
      <c r="S11" s="26" t="s">
        <v>46</v>
      </c>
      <c r="T11" s="29">
        <v>17</v>
      </c>
      <c r="U11" s="26" t="s">
        <v>47</v>
      </c>
      <c r="V11" s="26" t="s">
        <v>48</v>
      </c>
      <c r="W11" s="26" t="s">
        <v>49</v>
      </c>
      <c r="X11" s="56"/>
      <c r="Y11" s="61"/>
      <c r="Z11" s="45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</row>
    <row r="12" spans="1:1026" s="31" customFormat="1" ht="12.75" customHeight="1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2"/>
      <c r="V12" s="32"/>
      <c r="W12" s="34"/>
      <c r="X12" s="57"/>
      <c r="Y12" s="57"/>
      <c r="Z12" s="4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  <c r="AML12" s="36"/>
    </row>
    <row r="13" spans="1:1026" x14ac:dyDescent="0.2">
      <c r="A13" s="1">
        <v>29</v>
      </c>
      <c r="B13" s="50">
        <v>1</v>
      </c>
      <c r="C13" s="64" t="s">
        <v>63</v>
      </c>
      <c r="D13" s="64">
        <v>67</v>
      </c>
      <c r="E13" s="64"/>
      <c r="F13" s="64">
        <v>1</v>
      </c>
      <c r="G13" s="53">
        <v>27.33</v>
      </c>
      <c r="H13" s="53">
        <v>-159021.20000000001</v>
      </c>
      <c r="I13" s="53">
        <v>41246.07</v>
      </c>
      <c r="J13" s="39">
        <f t="shared" ref="J13:J39" si="0">K13+L13+M13</f>
        <v>600715.84000000008</v>
      </c>
      <c r="K13" s="15">
        <f>600715.84-L13-M13</f>
        <v>427122.59</v>
      </c>
      <c r="L13" s="15">
        <f>5996.86*12</f>
        <v>71962.319999999992</v>
      </c>
      <c r="M13" s="15">
        <v>101630.93</v>
      </c>
      <c r="N13" s="39">
        <f t="shared" ref="N13:N39" si="1">O13+P13+Q13+R13+S13</f>
        <v>599339.15</v>
      </c>
      <c r="O13" s="15">
        <v>587891.88</v>
      </c>
      <c r="P13" s="15">
        <v>0</v>
      </c>
      <c r="Q13" s="15">
        <v>0</v>
      </c>
      <c r="R13" s="15">
        <v>11447.27</v>
      </c>
      <c r="S13" s="15">
        <v>0</v>
      </c>
      <c r="T13" s="16">
        <f t="shared" ref="T13:T17" si="2">N13+H13</f>
        <v>440317.95</v>
      </c>
      <c r="U13" s="15">
        <v>108.54</v>
      </c>
      <c r="V13" s="15">
        <v>-143420.98000000001</v>
      </c>
      <c r="W13" s="17">
        <v>54151.24</v>
      </c>
      <c r="X13" s="58"/>
      <c r="Y13" s="63">
        <f t="shared" ref="Y13:Y71" si="3">I13+J13+U13-G13-O13-W13</f>
        <v>1.0913936421275139E-10</v>
      </c>
      <c r="Z13" s="46">
        <f t="shared" ref="Z13:Z33" si="4">N13</f>
        <v>599339.15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1026" x14ac:dyDescent="0.2">
      <c r="A14" s="1">
        <v>22</v>
      </c>
      <c r="B14" s="50">
        <v>2</v>
      </c>
      <c r="C14" s="64" t="s">
        <v>63</v>
      </c>
      <c r="D14" s="64">
        <v>67</v>
      </c>
      <c r="E14" s="64"/>
      <c r="F14" s="64"/>
      <c r="G14" s="53">
        <v>11174.93</v>
      </c>
      <c r="H14" s="53">
        <v>-191057.24</v>
      </c>
      <c r="I14" s="53">
        <v>108436.48</v>
      </c>
      <c r="J14" s="39">
        <f t="shared" si="0"/>
        <v>847857.31</v>
      </c>
      <c r="K14" s="15">
        <f>847857.31-L14-M14</f>
        <v>597547.07000000007</v>
      </c>
      <c r="L14" s="15">
        <f>9103.63*12</f>
        <v>109243.56</v>
      </c>
      <c r="M14" s="15">
        <v>141066.68</v>
      </c>
      <c r="N14" s="39">
        <f t="shared" si="1"/>
        <v>846548.5</v>
      </c>
      <c r="O14" s="15">
        <v>835101.23</v>
      </c>
      <c r="P14" s="15">
        <v>0</v>
      </c>
      <c r="Q14" s="15">
        <v>0</v>
      </c>
      <c r="R14" s="15">
        <v>11447.27</v>
      </c>
      <c r="S14" s="15">
        <v>0</v>
      </c>
      <c r="T14" s="16">
        <f t="shared" si="2"/>
        <v>655491.26</v>
      </c>
      <c r="U14" s="53">
        <v>4116.8999999999996</v>
      </c>
      <c r="V14" s="53">
        <v>-185509.95</v>
      </c>
      <c r="W14" s="65">
        <v>114134.53</v>
      </c>
      <c r="X14" s="58"/>
      <c r="Y14" s="63">
        <f t="shared" si="3"/>
        <v>0</v>
      </c>
      <c r="Z14" s="46">
        <f t="shared" si="4"/>
        <v>846548.5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1026" x14ac:dyDescent="0.2">
      <c r="A15" s="1">
        <v>7</v>
      </c>
      <c r="B15" s="50">
        <v>3</v>
      </c>
      <c r="C15" s="64" t="s">
        <v>63</v>
      </c>
      <c r="D15" s="64">
        <v>69</v>
      </c>
      <c r="E15" s="64"/>
      <c r="F15" s="64"/>
      <c r="G15" s="53">
        <v>5797.84</v>
      </c>
      <c r="H15" s="53">
        <v>-258320.39</v>
      </c>
      <c r="I15" s="53">
        <v>427015.89</v>
      </c>
      <c r="J15" s="39">
        <f t="shared" si="0"/>
        <v>2220933.75</v>
      </c>
      <c r="K15" s="15">
        <f>2220933.75-L15-M15</f>
        <v>1629224.13</v>
      </c>
      <c r="L15" s="15">
        <f>16462.51*12</f>
        <v>197550.12</v>
      </c>
      <c r="M15" s="15">
        <v>394159.5</v>
      </c>
      <c r="N15" s="39">
        <f t="shared" si="1"/>
        <v>2307350.4900000002</v>
      </c>
      <c r="O15" s="15">
        <v>2221037.02</v>
      </c>
      <c r="P15" s="15">
        <v>0</v>
      </c>
      <c r="Q15" s="15">
        <v>0</v>
      </c>
      <c r="R15" s="15">
        <f>19040.87+67272.6</f>
        <v>86313.47</v>
      </c>
      <c r="S15" s="15">
        <v>0</v>
      </c>
      <c r="T15" s="16">
        <f t="shared" si="2"/>
        <v>2049030.1</v>
      </c>
      <c r="U15" s="15">
        <v>454.26</v>
      </c>
      <c r="V15" s="15">
        <v>-188279.89</v>
      </c>
      <c r="W15" s="17">
        <v>421569.04</v>
      </c>
      <c r="X15" s="58"/>
      <c r="Y15" s="63">
        <f t="shared" si="3"/>
        <v>0</v>
      </c>
      <c r="Z15" s="46">
        <f t="shared" si="4"/>
        <v>2307350.4900000002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1026" x14ac:dyDescent="0.2">
      <c r="A16" s="1">
        <v>8</v>
      </c>
      <c r="B16" s="50">
        <v>4</v>
      </c>
      <c r="C16" s="64" t="s">
        <v>63</v>
      </c>
      <c r="D16" s="64">
        <v>73</v>
      </c>
      <c r="E16" s="64"/>
      <c r="F16" s="64"/>
      <c r="G16" s="53">
        <v>10149.280000000001</v>
      </c>
      <c r="H16" s="53">
        <v>-247825.51</v>
      </c>
      <c r="I16" s="53">
        <v>365000.03</v>
      </c>
      <c r="J16" s="39">
        <f t="shared" si="0"/>
        <v>2521684.3400000003</v>
      </c>
      <c r="K16" s="15">
        <f>2521684.34-L16-M16</f>
        <v>1725984.6</v>
      </c>
      <c r="L16" s="15">
        <f>28849.4*12</f>
        <v>346192.80000000005</v>
      </c>
      <c r="M16" s="15">
        <v>449506.94</v>
      </c>
      <c r="N16" s="39">
        <f t="shared" si="1"/>
        <v>2398232.37</v>
      </c>
      <c r="O16" s="15">
        <v>2371831.5</v>
      </c>
      <c r="P16" s="15">
        <v>0</v>
      </c>
      <c r="Q16" s="15">
        <v>0</v>
      </c>
      <c r="R16" s="15">
        <f>15200.87+11200</f>
        <v>26400.870000000003</v>
      </c>
      <c r="S16" s="15">
        <v>0</v>
      </c>
      <c r="T16" s="16">
        <f t="shared" si="2"/>
        <v>2150406.8600000003</v>
      </c>
      <c r="U16" s="53">
        <v>15098.54</v>
      </c>
      <c r="V16" s="53">
        <v>-376257.16</v>
      </c>
      <c r="W16" s="65">
        <v>519802.13</v>
      </c>
      <c r="X16" s="58"/>
      <c r="Y16" s="63">
        <f t="shared" si="3"/>
        <v>0</v>
      </c>
      <c r="Z16" s="46">
        <f t="shared" si="4"/>
        <v>2398232.37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x14ac:dyDescent="0.2">
      <c r="A17" s="1">
        <v>9</v>
      </c>
      <c r="B17" s="50">
        <v>5</v>
      </c>
      <c r="C17" s="64" t="s">
        <v>63</v>
      </c>
      <c r="D17" s="64">
        <v>91</v>
      </c>
      <c r="E17" s="64"/>
      <c r="F17" s="64"/>
      <c r="G17" s="53">
        <v>2372.8200000000002</v>
      </c>
      <c r="H17" s="53">
        <v>-73989.06</v>
      </c>
      <c r="I17" s="53">
        <v>172795.61</v>
      </c>
      <c r="J17" s="39">
        <f t="shared" si="0"/>
        <v>2191480.98</v>
      </c>
      <c r="K17" s="15">
        <f>2191480.98-L17-M17</f>
        <v>1545407.75</v>
      </c>
      <c r="L17" s="15">
        <f>21612.14*12</f>
        <v>259345.68</v>
      </c>
      <c r="M17" s="15">
        <v>386727.55</v>
      </c>
      <c r="N17" s="39">
        <f t="shared" si="1"/>
        <v>2136361.5</v>
      </c>
      <c r="O17" s="15">
        <v>2109960.63</v>
      </c>
      <c r="P17" s="15">
        <v>0</v>
      </c>
      <c r="Q17" s="15">
        <v>0</v>
      </c>
      <c r="R17" s="15">
        <f>15200.87+11200</f>
        <v>26400.870000000003</v>
      </c>
      <c r="S17" s="15">
        <v>0</v>
      </c>
      <c r="T17" s="16">
        <f t="shared" si="2"/>
        <v>2062372.44</v>
      </c>
      <c r="U17" s="15">
        <v>1009.55</v>
      </c>
      <c r="V17" s="15">
        <v>-45298.36</v>
      </c>
      <c r="W17" s="17">
        <v>252952.69</v>
      </c>
      <c r="X17" s="58"/>
      <c r="Y17" s="63">
        <f t="shared" si="3"/>
        <v>0</v>
      </c>
      <c r="Z17" s="46">
        <f t="shared" si="4"/>
        <v>2136361.5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x14ac:dyDescent="0.2">
      <c r="A18" s="1">
        <v>10</v>
      </c>
      <c r="B18" s="50">
        <v>6</v>
      </c>
      <c r="C18" s="64" t="s">
        <v>63</v>
      </c>
      <c r="D18" s="64">
        <v>93</v>
      </c>
      <c r="E18" s="64"/>
      <c r="F18" s="64"/>
      <c r="G18" s="53">
        <v>16386.759999999998</v>
      </c>
      <c r="H18" s="53">
        <v>-281574.84000000003</v>
      </c>
      <c r="I18" s="53">
        <v>611598.68999999994</v>
      </c>
      <c r="J18" s="39">
        <f>K18+L18+M18</f>
        <v>3788330.54</v>
      </c>
      <c r="K18" s="15">
        <f>3788330.54-L18-M18</f>
        <v>2775205.8200000003</v>
      </c>
      <c r="L18" s="15">
        <f>21327.61*12</f>
        <v>255931.32</v>
      </c>
      <c r="M18" s="15">
        <v>757193.4</v>
      </c>
      <c r="N18" s="39">
        <f>O18+P18+Q18+R18+S18</f>
        <v>3609744.66</v>
      </c>
      <c r="O18" s="15">
        <v>3570026</v>
      </c>
      <c r="P18" s="15">
        <v>0</v>
      </c>
      <c r="Q18" s="15">
        <v>0</v>
      </c>
      <c r="R18" s="15">
        <f>15367.26+24351.4</f>
        <v>39718.660000000003</v>
      </c>
      <c r="S18" s="15">
        <v>0</v>
      </c>
      <c r="T18" s="16">
        <f>N18+H18</f>
        <v>3328169.8200000003</v>
      </c>
      <c r="U18" s="15">
        <v>24021.78</v>
      </c>
      <c r="V18" s="15">
        <v>-42343.88</v>
      </c>
      <c r="W18" s="17">
        <v>837538.25</v>
      </c>
      <c r="X18" s="58"/>
      <c r="Y18" s="63">
        <f t="shared" si="3"/>
        <v>9.3132257461547852E-10</v>
      </c>
      <c r="Z18" s="46">
        <f t="shared" si="4"/>
        <v>3609744.66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x14ac:dyDescent="0.2">
      <c r="A19" s="1">
        <v>25</v>
      </c>
      <c r="B19" s="50">
        <v>7</v>
      </c>
      <c r="C19" s="64" t="s">
        <v>63</v>
      </c>
      <c r="D19" s="64">
        <v>107</v>
      </c>
      <c r="E19" s="64"/>
      <c r="F19" s="64"/>
      <c r="G19" s="53">
        <v>0.39</v>
      </c>
      <c r="H19" s="53">
        <v>-256800.78</v>
      </c>
      <c r="I19" s="53">
        <v>31968.32</v>
      </c>
      <c r="J19" s="39">
        <f t="shared" si="0"/>
        <v>507824.3</v>
      </c>
      <c r="K19" s="15">
        <f>507824.3-L19-M19</f>
        <v>352903.15</v>
      </c>
      <c r="L19" s="15">
        <f>5539.78*12</f>
        <v>66477.36</v>
      </c>
      <c r="M19" s="15">
        <v>88443.79</v>
      </c>
      <c r="N19" s="39">
        <f t="shared" si="1"/>
        <v>506546.84</v>
      </c>
      <c r="O19" s="15">
        <v>498939.57</v>
      </c>
      <c r="P19" s="15">
        <v>0</v>
      </c>
      <c r="Q19" s="15">
        <v>0</v>
      </c>
      <c r="R19" s="15">
        <v>7607.27</v>
      </c>
      <c r="S19" s="15">
        <v>0</v>
      </c>
      <c r="T19" s="16">
        <f t="shared" ref="T19:T39" si="5">N19+H19</f>
        <v>249746.06000000003</v>
      </c>
      <c r="U19" s="15">
        <v>864.41</v>
      </c>
      <c r="V19" s="15">
        <v>-312672.11</v>
      </c>
      <c r="W19" s="17">
        <v>41717.07</v>
      </c>
      <c r="X19" s="58"/>
      <c r="Y19" s="63">
        <f t="shared" si="3"/>
        <v>0</v>
      </c>
      <c r="Z19" s="46">
        <f t="shared" si="4"/>
        <v>506546.84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x14ac:dyDescent="0.2">
      <c r="A20" s="1">
        <v>1</v>
      </c>
      <c r="B20" s="50">
        <v>8</v>
      </c>
      <c r="C20" s="64" t="s">
        <v>64</v>
      </c>
      <c r="D20" s="64">
        <v>2</v>
      </c>
      <c r="E20" s="64"/>
      <c r="F20" s="64" t="s">
        <v>26</v>
      </c>
      <c r="G20" s="53">
        <v>9673.1299999999992</v>
      </c>
      <c r="H20" s="53">
        <v>-23752.37</v>
      </c>
      <c r="I20" s="53">
        <v>35345.14</v>
      </c>
      <c r="J20" s="39">
        <f t="shared" si="0"/>
        <v>628845.67000000004</v>
      </c>
      <c r="K20" s="15">
        <f>628845.67-L20-M20</f>
        <v>431419.03</v>
      </c>
      <c r="L20" s="15">
        <f>7376.24*12</f>
        <v>88514.880000000005</v>
      </c>
      <c r="M20" s="15">
        <v>108911.76</v>
      </c>
      <c r="N20" s="39">
        <f t="shared" si="1"/>
        <v>618078.59</v>
      </c>
      <c r="O20" s="15">
        <v>606631.31999999995</v>
      </c>
      <c r="P20" s="15">
        <v>0</v>
      </c>
      <c r="Q20" s="15">
        <v>0</v>
      </c>
      <c r="R20" s="15">
        <v>11447.27</v>
      </c>
      <c r="S20" s="15">
        <v>0</v>
      </c>
      <c r="T20" s="16">
        <f t="shared" si="5"/>
        <v>594326.22</v>
      </c>
      <c r="U20" s="53">
        <v>362.28</v>
      </c>
      <c r="V20" s="53">
        <v>-60364.37</v>
      </c>
      <c r="W20" s="65">
        <v>48248.639999999999</v>
      </c>
      <c r="X20" s="58"/>
      <c r="Y20" s="63">
        <f t="shared" si="3"/>
        <v>1.3096723705530167E-10</v>
      </c>
      <c r="Z20" s="46">
        <f t="shared" si="4"/>
        <v>618078.59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x14ac:dyDescent="0.2">
      <c r="A21" s="1">
        <v>16</v>
      </c>
      <c r="B21" s="50">
        <v>9</v>
      </c>
      <c r="C21" s="64" t="s">
        <v>64</v>
      </c>
      <c r="D21" s="64">
        <v>2</v>
      </c>
      <c r="E21" s="64"/>
      <c r="F21" s="64"/>
      <c r="G21" s="53">
        <v>1647.35</v>
      </c>
      <c r="H21" s="53">
        <v>-79967.039999999994</v>
      </c>
      <c r="I21" s="53">
        <v>29326.59</v>
      </c>
      <c r="J21" s="39">
        <f t="shared" si="0"/>
        <v>585291.37</v>
      </c>
      <c r="K21" s="15">
        <f>585291.37-L21-M21</f>
        <v>394019.58999999997</v>
      </c>
      <c r="L21" s="15">
        <f>7635.6*12</f>
        <v>91627.200000000012</v>
      </c>
      <c r="M21" s="15">
        <v>99644.58</v>
      </c>
      <c r="N21" s="39">
        <f t="shared" si="1"/>
        <v>590688.37</v>
      </c>
      <c r="O21" s="15">
        <v>579241.1</v>
      </c>
      <c r="P21" s="15">
        <v>0</v>
      </c>
      <c r="Q21" s="15">
        <v>0</v>
      </c>
      <c r="R21" s="15">
        <v>11447.27</v>
      </c>
      <c r="S21" s="15">
        <v>0</v>
      </c>
      <c r="T21" s="16">
        <f t="shared" si="5"/>
        <v>510721.33</v>
      </c>
      <c r="U21" s="15">
        <v>122.36</v>
      </c>
      <c r="V21" s="15">
        <v>-63165.08</v>
      </c>
      <c r="W21" s="17">
        <v>33851.870000000003</v>
      </c>
      <c r="X21" s="58"/>
      <c r="Y21" s="63">
        <f t="shared" si="3"/>
        <v>0</v>
      </c>
      <c r="Z21" s="46">
        <f t="shared" si="4"/>
        <v>590688.37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x14ac:dyDescent="0.2">
      <c r="A22" s="1">
        <v>46</v>
      </c>
      <c r="B22" s="50">
        <v>10</v>
      </c>
      <c r="C22" s="64" t="s">
        <v>64</v>
      </c>
      <c r="D22" s="64">
        <v>4</v>
      </c>
      <c r="E22" s="64"/>
      <c r="F22" s="64"/>
      <c r="G22" s="53">
        <v>0</v>
      </c>
      <c r="H22" s="53">
        <v>-9278.1200000000008</v>
      </c>
      <c r="I22" s="53">
        <v>77254.899999999994</v>
      </c>
      <c r="J22" s="39">
        <f t="shared" si="0"/>
        <v>594148.99</v>
      </c>
      <c r="K22" s="15">
        <f>594148.99-L22-M22</f>
        <v>397207.88999999996</v>
      </c>
      <c r="L22" s="15">
        <f>7861.92*12</f>
        <v>94343.040000000008</v>
      </c>
      <c r="M22" s="15">
        <v>102598.06</v>
      </c>
      <c r="N22" s="39">
        <f t="shared" si="1"/>
        <v>611493.33000000007</v>
      </c>
      <c r="O22" s="15">
        <v>580646.06000000006</v>
      </c>
      <c r="P22" s="15">
        <v>0</v>
      </c>
      <c r="Q22" s="15">
        <v>0</v>
      </c>
      <c r="R22" s="15">
        <v>30847.27</v>
      </c>
      <c r="S22" s="15">
        <v>0</v>
      </c>
      <c r="T22" s="16">
        <f t="shared" si="5"/>
        <v>602215.21000000008</v>
      </c>
      <c r="U22" s="15">
        <v>0</v>
      </c>
      <c r="V22" s="15">
        <v>-54559.839999999997</v>
      </c>
      <c r="W22" s="17">
        <v>90757.83</v>
      </c>
      <c r="X22" s="58"/>
      <c r="Y22" s="63">
        <f t="shared" si="3"/>
        <v>0</v>
      </c>
      <c r="Z22" s="46">
        <f t="shared" si="4"/>
        <v>611493.33000000007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x14ac:dyDescent="0.2">
      <c r="A23" s="1">
        <v>2</v>
      </c>
      <c r="B23" s="50">
        <v>11</v>
      </c>
      <c r="C23" s="64" t="s">
        <v>64</v>
      </c>
      <c r="D23" s="64">
        <v>8</v>
      </c>
      <c r="E23" s="64"/>
      <c r="F23" s="64"/>
      <c r="G23" s="53">
        <v>0</v>
      </c>
      <c r="H23" s="53">
        <v>-1088.18</v>
      </c>
      <c r="I23" s="53">
        <v>71035.240000000005</v>
      </c>
      <c r="J23" s="39">
        <f t="shared" si="0"/>
        <v>567195.42999999993</v>
      </c>
      <c r="K23" s="15">
        <f>567195.43-L23-M23</f>
        <v>407621.59</v>
      </c>
      <c r="L23" s="15">
        <f>5494.7*12</f>
        <v>65936.399999999994</v>
      </c>
      <c r="M23" s="15">
        <v>93637.440000000002</v>
      </c>
      <c r="N23" s="39">
        <f t="shared" si="1"/>
        <v>567110.68000000005</v>
      </c>
      <c r="O23" s="15">
        <v>548933.81000000006</v>
      </c>
      <c r="P23" s="15">
        <v>0</v>
      </c>
      <c r="Q23" s="15">
        <v>0</v>
      </c>
      <c r="R23" s="15">
        <f>15200.87+2976</f>
        <v>18176.870000000003</v>
      </c>
      <c r="S23" s="15">
        <v>0</v>
      </c>
      <c r="T23" s="16">
        <f t="shared" si="5"/>
        <v>566022.5</v>
      </c>
      <c r="U23" s="15">
        <v>628.67999999999995</v>
      </c>
      <c r="V23" s="15">
        <v>-17299.2</v>
      </c>
      <c r="W23" s="17">
        <v>89925.54</v>
      </c>
      <c r="X23" s="58"/>
      <c r="Y23" s="63">
        <f t="shared" si="3"/>
        <v>0</v>
      </c>
      <c r="Z23" s="46">
        <f t="shared" si="4"/>
        <v>567110.68000000005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x14ac:dyDescent="0.2">
      <c r="A24" s="1">
        <v>31</v>
      </c>
      <c r="B24" s="50">
        <v>12</v>
      </c>
      <c r="C24" s="64" t="s">
        <v>27</v>
      </c>
      <c r="D24" s="64">
        <v>47</v>
      </c>
      <c r="E24" s="64"/>
      <c r="F24" s="64">
        <v>1</v>
      </c>
      <c r="G24" s="53">
        <v>1057.2</v>
      </c>
      <c r="H24" s="53">
        <v>-1485.44</v>
      </c>
      <c r="I24" s="53">
        <v>361147.6</v>
      </c>
      <c r="J24" s="39">
        <f t="shared" si="0"/>
        <v>3348968.26</v>
      </c>
      <c r="K24" s="15">
        <f>3348968.26-L24-M24</f>
        <v>2359346.17</v>
      </c>
      <c r="L24" s="15">
        <f>32115.69*12</f>
        <v>385388.27999999997</v>
      </c>
      <c r="M24" s="15">
        <v>604233.81000000006</v>
      </c>
      <c r="N24" s="39">
        <f t="shared" si="1"/>
        <v>3352000.7600000002</v>
      </c>
      <c r="O24" s="15">
        <v>3323159.89</v>
      </c>
      <c r="P24" s="15">
        <v>0</v>
      </c>
      <c r="Q24" s="15">
        <v>0</v>
      </c>
      <c r="R24" s="15">
        <f>16040.87+12800</f>
        <v>28840.870000000003</v>
      </c>
      <c r="S24" s="15">
        <v>0</v>
      </c>
      <c r="T24" s="16">
        <f t="shared" si="5"/>
        <v>3350515.3200000003</v>
      </c>
      <c r="U24" s="15">
        <v>1679.02</v>
      </c>
      <c r="V24" s="15">
        <v>37476.51</v>
      </c>
      <c r="W24" s="17">
        <v>387577.79</v>
      </c>
      <c r="X24" s="58"/>
      <c r="Y24" s="63">
        <f t="shared" si="3"/>
        <v>0</v>
      </c>
      <c r="Z24" s="46">
        <f t="shared" si="4"/>
        <v>3352000.7600000002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x14ac:dyDescent="0.2">
      <c r="A25" s="1">
        <v>19</v>
      </c>
      <c r="B25" s="50">
        <v>13</v>
      </c>
      <c r="C25" s="64" t="s">
        <v>27</v>
      </c>
      <c r="D25" s="64">
        <v>47</v>
      </c>
      <c r="E25" s="64"/>
      <c r="F25" s="64"/>
      <c r="G25" s="53">
        <v>0</v>
      </c>
      <c r="H25" s="53">
        <v>-6676.42</v>
      </c>
      <c r="I25" s="53">
        <v>176182.3</v>
      </c>
      <c r="J25" s="39">
        <f t="shared" si="0"/>
        <v>1633023.77</v>
      </c>
      <c r="K25" s="15">
        <f>1633023.77-L25-M25</f>
        <v>1153020.29</v>
      </c>
      <c r="L25" s="15">
        <f>15886.64*12</f>
        <v>190639.68</v>
      </c>
      <c r="M25" s="15">
        <v>289363.8</v>
      </c>
      <c r="N25" s="39">
        <f t="shared" si="1"/>
        <v>1602478.11</v>
      </c>
      <c r="O25" s="15">
        <v>1568025.52</v>
      </c>
      <c r="P25" s="15">
        <v>0</v>
      </c>
      <c r="Q25" s="15">
        <v>0</v>
      </c>
      <c r="R25" s="15">
        <f>15200.87+19251.72</f>
        <v>34452.590000000004</v>
      </c>
      <c r="S25" s="15">
        <v>0</v>
      </c>
      <c r="T25" s="16">
        <f t="shared" si="5"/>
        <v>1595801.6900000002</v>
      </c>
      <c r="U25" s="53">
        <v>2085.8000000000002</v>
      </c>
      <c r="V25" s="53">
        <v>29457.02</v>
      </c>
      <c r="W25" s="65">
        <v>243266.35</v>
      </c>
      <c r="X25" s="58"/>
      <c r="Y25" s="63">
        <f t="shared" si="3"/>
        <v>0</v>
      </c>
      <c r="Z25" s="46">
        <f t="shared" si="4"/>
        <v>1602478.11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x14ac:dyDescent="0.2">
      <c r="A26" s="1">
        <v>20</v>
      </c>
      <c r="B26" s="50">
        <v>14</v>
      </c>
      <c r="C26" s="64" t="s">
        <v>27</v>
      </c>
      <c r="D26" s="64" t="s">
        <v>65</v>
      </c>
      <c r="E26" s="64"/>
      <c r="F26" s="64"/>
      <c r="G26" s="53">
        <v>180.58</v>
      </c>
      <c r="H26" s="53">
        <v>-55822.64</v>
      </c>
      <c r="I26" s="53">
        <v>565488.98</v>
      </c>
      <c r="J26" s="39">
        <f t="shared" si="0"/>
        <v>4048875.8500000006</v>
      </c>
      <c r="K26" s="15">
        <f>4048875.85-L26-M26</f>
        <v>2862450.2</v>
      </c>
      <c r="L26" s="15">
        <f>38289.44*12</f>
        <v>459473.28</v>
      </c>
      <c r="M26" s="15">
        <v>726952.37</v>
      </c>
      <c r="N26" s="39">
        <f t="shared" si="1"/>
        <v>4053019.06</v>
      </c>
      <c r="O26" s="15">
        <v>4018218.19</v>
      </c>
      <c r="P26" s="15">
        <v>0</v>
      </c>
      <c r="Q26" s="15">
        <v>0</v>
      </c>
      <c r="R26" s="38">
        <f>15200.87+19600</f>
        <v>34800.870000000003</v>
      </c>
      <c r="S26" s="15">
        <v>0</v>
      </c>
      <c r="T26" s="16">
        <f t="shared" si="5"/>
        <v>3997196.42</v>
      </c>
      <c r="U26" s="15">
        <v>45.33</v>
      </c>
      <c r="V26" s="15">
        <v>20283.150000000001</v>
      </c>
      <c r="W26" s="17">
        <v>596011.39</v>
      </c>
      <c r="X26" s="58"/>
      <c r="Y26" s="63">
        <f t="shared" si="3"/>
        <v>0</v>
      </c>
      <c r="Z26" s="46">
        <f t="shared" si="4"/>
        <v>4053019.06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x14ac:dyDescent="0.2">
      <c r="A27" s="1">
        <v>3</v>
      </c>
      <c r="B27" s="50">
        <v>15</v>
      </c>
      <c r="C27" s="64" t="s">
        <v>27</v>
      </c>
      <c r="D27" s="64" t="s">
        <v>66</v>
      </c>
      <c r="E27" s="64"/>
      <c r="F27" s="64"/>
      <c r="G27" s="53">
        <v>330.99</v>
      </c>
      <c r="H27" s="53">
        <v>-220335.28</v>
      </c>
      <c r="I27" s="53">
        <v>95914.52</v>
      </c>
      <c r="J27" s="39">
        <f t="shared" si="0"/>
        <v>603947.86</v>
      </c>
      <c r="K27" s="15">
        <f>603947.86-L27-M27</f>
        <v>450584.62</v>
      </c>
      <c r="L27" s="15">
        <f>3593.79*12</f>
        <v>43125.479999999996</v>
      </c>
      <c r="M27" s="15">
        <v>110237.75999999999</v>
      </c>
      <c r="N27" s="39">
        <f t="shared" si="1"/>
        <v>552842.59</v>
      </c>
      <c r="O27" s="15">
        <v>541481.72</v>
      </c>
      <c r="P27" s="15">
        <v>0</v>
      </c>
      <c r="Q27" s="15">
        <v>0</v>
      </c>
      <c r="R27" s="15">
        <v>11360.87</v>
      </c>
      <c r="S27" s="15">
        <v>0</v>
      </c>
      <c r="T27" s="16">
        <f t="shared" si="5"/>
        <v>332507.30999999994</v>
      </c>
      <c r="U27" s="53">
        <v>1816.23</v>
      </c>
      <c r="V27" s="53">
        <v>-249527.63</v>
      </c>
      <c r="W27" s="65">
        <v>159865.9</v>
      </c>
      <c r="X27" s="58"/>
      <c r="Y27" s="63">
        <f t="shared" si="3"/>
        <v>0</v>
      </c>
      <c r="Z27" s="46">
        <f t="shared" si="4"/>
        <v>552842.59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x14ac:dyDescent="0.2">
      <c r="A28" s="1">
        <v>4</v>
      </c>
      <c r="B28" s="50">
        <v>16</v>
      </c>
      <c r="C28" s="64" t="s">
        <v>27</v>
      </c>
      <c r="D28" s="64">
        <v>62</v>
      </c>
      <c r="E28" s="64"/>
      <c r="F28" s="64"/>
      <c r="G28" s="53">
        <v>0</v>
      </c>
      <c r="H28" s="53">
        <v>-299581.06</v>
      </c>
      <c r="I28" s="53">
        <v>123114.54</v>
      </c>
      <c r="J28" s="39">
        <f t="shared" si="0"/>
        <v>575986.5</v>
      </c>
      <c r="K28" s="15">
        <f>575986.5-L28-M28</f>
        <v>421889.22</v>
      </c>
      <c r="L28" s="15">
        <f>4384.25*12</f>
        <v>52611</v>
      </c>
      <c r="M28" s="15">
        <v>101486.28</v>
      </c>
      <c r="N28" s="39">
        <f t="shared" si="1"/>
        <v>584728.72</v>
      </c>
      <c r="O28" s="15">
        <v>573367.85</v>
      </c>
      <c r="P28" s="15">
        <v>0</v>
      </c>
      <c r="Q28" s="15">
        <v>0</v>
      </c>
      <c r="R28" s="15">
        <v>11360.87</v>
      </c>
      <c r="S28" s="15">
        <v>0</v>
      </c>
      <c r="T28" s="16">
        <f t="shared" si="5"/>
        <v>285147.65999999997</v>
      </c>
      <c r="U28" s="53">
        <v>22.94</v>
      </c>
      <c r="V28" s="53">
        <v>-312513.96000000002</v>
      </c>
      <c r="W28" s="65">
        <v>125756.13</v>
      </c>
      <c r="X28" s="58"/>
      <c r="Y28" s="63">
        <f t="shared" si="3"/>
        <v>0</v>
      </c>
      <c r="Z28" s="46">
        <f t="shared" si="4"/>
        <v>584728.72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x14ac:dyDescent="0.2">
      <c r="A29" s="1">
        <v>5</v>
      </c>
      <c r="B29" s="50">
        <v>17</v>
      </c>
      <c r="C29" s="64" t="s">
        <v>67</v>
      </c>
      <c r="D29" s="64">
        <v>13</v>
      </c>
      <c r="E29" s="64"/>
      <c r="F29" s="64"/>
      <c r="G29" s="53">
        <v>1440.03</v>
      </c>
      <c r="H29" s="53">
        <v>-279053.01</v>
      </c>
      <c r="I29" s="53">
        <v>80314.25</v>
      </c>
      <c r="J29" s="39">
        <f t="shared" si="0"/>
        <v>667796.97</v>
      </c>
      <c r="K29" s="15">
        <f>667796.97-L29-M29</f>
        <v>466261.29</v>
      </c>
      <c r="L29" s="15">
        <f>7288.24*12</f>
        <v>87458.880000000005</v>
      </c>
      <c r="M29" s="15">
        <v>114076.8</v>
      </c>
      <c r="N29" s="39">
        <f t="shared" si="1"/>
        <v>649484.80000000005</v>
      </c>
      <c r="O29" s="15">
        <v>641804.80000000005</v>
      </c>
      <c r="P29" s="15">
        <v>0</v>
      </c>
      <c r="Q29" s="15">
        <v>0</v>
      </c>
      <c r="R29" s="15">
        <v>7680</v>
      </c>
      <c r="S29" s="15">
        <v>0</v>
      </c>
      <c r="T29" s="16">
        <f t="shared" si="5"/>
        <v>370431.79000000004</v>
      </c>
      <c r="U29" s="15">
        <v>5649.35</v>
      </c>
      <c r="V29" s="15">
        <v>-301673.21000000002</v>
      </c>
      <c r="W29" s="17">
        <v>110515.74</v>
      </c>
      <c r="X29" s="58"/>
      <c r="Y29" s="63">
        <f t="shared" si="3"/>
        <v>-1.3096723705530167E-10</v>
      </c>
      <c r="Z29" s="46">
        <f t="shared" si="4"/>
        <v>649484.80000000005</v>
      </c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 x14ac:dyDescent="0.2">
      <c r="A30" s="1">
        <v>6</v>
      </c>
      <c r="B30" s="50">
        <v>18</v>
      </c>
      <c r="C30" s="64" t="s">
        <v>68</v>
      </c>
      <c r="D30" s="64">
        <v>15</v>
      </c>
      <c r="E30" s="64"/>
      <c r="F30" s="64">
        <v>1</v>
      </c>
      <c r="G30" s="53">
        <v>0</v>
      </c>
      <c r="H30" s="53">
        <v>-170823.99</v>
      </c>
      <c r="I30" s="53">
        <v>87591.45</v>
      </c>
      <c r="J30" s="39">
        <f t="shared" si="0"/>
        <v>738631.85</v>
      </c>
      <c r="K30" s="15">
        <f>738631.85-L30-M30</f>
        <v>597344.24</v>
      </c>
      <c r="L30" s="15">
        <f>6225.95*2</f>
        <v>12451.9</v>
      </c>
      <c r="M30" s="15">
        <v>128835.71</v>
      </c>
      <c r="N30" s="39">
        <f t="shared" si="1"/>
        <v>786591.14</v>
      </c>
      <c r="O30" s="15">
        <v>775230.27</v>
      </c>
      <c r="P30" s="15">
        <v>0</v>
      </c>
      <c r="Q30" s="15">
        <v>0</v>
      </c>
      <c r="R30" s="15">
        <v>11360.87</v>
      </c>
      <c r="S30" s="15">
        <v>0</v>
      </c>
      <c r="T30" s="16">
        <f t="shared" si="5"/>
        <v>615767.15</v>
      </c>
      <c r="U30" s="15">
        <v>0.01</v>
      </c>
      <c r="V30" s="15">
        <v>-179469.8</v>
      </c>
      <c r="W30" s="17">
        <v>50993.04</v>
      </c>
      <c r="X30" s="58"/>
      <c r="Y30" s="63">
        <f t="shared" si="3"/>
        <v>-8.0035533756017685E-11</v>
      </c>
      <c r="Z30" s="46">
        <f t="shared" si="4"/>
        <v>786591.14</v>
      </c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 x14ac:dyDescent="0.2">
      <c r="A31" s="1">
        <v>11</v>
      </c>
      <c r="B31" s="50">
        <v>19</v>
      </c>
      <c r="C31" s="64" t="s">
        <v>68</v>
      </c>
      <c r="D31" s="64">
        <v>15</v>
      </c>
      <c r="E31" s="64"/>
      <c r="F31" s="64"/>
      <c r="G31" s="53">
        <v>0</v>
      </c>
      <c r="H31" s="53">
        <v>-306601.51</v>
      </c>
      <c r="I31" s="53">
        <v>166343.98000000001</v>
      </c>
      <c r="J31" s="39">
        <f t="shared" ref="J31" si="6">K31+L31+M31</f>
        <v>835421.63</v>
      </c>
      <c r="K31" s="15">
        <f>835421.63-L31-M31</f>
        <v>612826.02</v>
      </c>
      <c r="L31" s="15">
        <f>6333.11*12</f>
        <v>75997.319999999992</v>
      </c>
      <c r="M31" s="15">
        <v>146598.29</v>
      </c>
      <c r="N31" s="39">
        <f t="shared" ref="N31" si="7">O31+P31+Q31+R31+S31</f>
        <v>841652.20000000007</v>
      </c>
      <c r="O31" s="15">
        <v>826451.53</v>
      </c>
      <c r="P31" s="15">
        <v>0</v>
      </c>
      <c r="Q31" s="15">
        <v>0</v>
      </c>
      <c r="R31" s="15">
        <v>15200.67</v>
      </c>
      <c r="S31" s="15">
        <v>0</v>
      </c>
      <c r="T31" s="16">
        <f t="shared" ref="T31" si="8">N31+H31</f>
        <v>535050.69000000006</v>
      </c>
      <c r="U31" s="15">
        <v>2993.46</v>
      </c>
      <c r="V31" s="15">
        <v>-307253.63</v>
      </c>
      <c r="W31" s="17">
        <v>178307.54</v>
      </c>
      <c r="X31" s="58"/>
      <c r="Y31" s="63">
        <f t="shared" si="3"/>
        <v>0</v>
      </c>
      <c r="Z31" s="46">
        <f t="shared" si="4"/>
        <v>841652.20000000007</v>
      </c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x14ac:dyDescent="0.2">
      <c r="A32" s="1">
        <v>12</v>
      </c>
      <c r="B32" s="50">
        <v>20</v>
      </c>
      <c r="C32" s="64" t="s">
        <v>68</v>
      </c>
      <c r="D32" s="64">
        <v>26</v>
      </c>
      <c r="E32" s="64"/>
      <c r="F32" s="64">
        <v>1</v>
      </c>
      <c r="G32" s="53">
        <v>0</v>
      </c>
      <c r="H32" s="53">
        <v>-145699.92000000001</v>
      </c>
      <c r="I32" s="53">
        <v>90155.64</v>
      </c>
      <c r="J32" s="39">
        <f t="shared" si="0"/>
        <v>960034.27</v>
      </c>
      <c r="K32" s="15">
        <f>960034.27-L32-M32</f>
        <v>679781.23</v>
      </c>
      <c r="L32" s="15">
        <f>8038.49*12</f>
        <v>96461.88</v>
      </c>
      <c r="M32" s="15">
        <v>183791.16</v>
      </c>
      <c r="N32" s="39">
        <f t="shared" si="1"/>
        <v>1006496.12</v>
      </c>
      <c r="O32" s="15">
        <v>987295.25</v>
      </c>
      <c r="P32" s="15">
        <v>0</v>
      </c>
      <c r="Q32" s="15">
        <v>0</v>
      </c>
      <c r="R32" s="15">
        <v>19200.87</v>
      </c>
      <c r="S32" s="15">
        <v>0</v>
      </c>
      <c r="T32" s="16">
        <f t="shared" si="5"/>
        <v>860796.2</v>
      </c>
      <c r="U32" s="53">
        <v>1533.35</v>
      </c>
      <c r="V32" s="53">
        <v>-126777.99</v>
      </c>
      <c r="W32" s="65">
        <v>64428.01</v>
      </c>
      <c r="X32" s="58"/>
      <c r="Y32" s="63">
        <f t="shared" si="3"/>
        <v>0</v>
      </c>
      <c r="Z32" s="46">
        <f t="shared" si="4"/>
        <v>1006496.12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 x14ac:dyDescent="0.2">
      <c r="A33" s="1">
        <v>13</v>
      </c>
      <c r="B33" s="50">
        <v>21</v>
      </c>
      <c r="C33" s="64" t="s">
        <v>68</v>
      </c>
      <c r="D33" s="64">
        <v>26</v>
      </c>
      <c r="E33" s="64"/>
      <c r="F33" s="64"/>
      <c r="G33" s="53">
        <v>1468.4</v>
      </c>
      <c r="H33" s="53">
        <v>-234304.83</v>
      </c>
      <c r="I33" s="53">
        <v>138030.32999999999</v>
      </c>
      <c r="J33" s="39">
        <f t="shared" si="0"/>
        <v>968133.92</v>
      </c>
      <c r="K33" s="15">
        <f>968133.92-L33-M33</f>
        <v>668896.52</v>
      </c>
      <c r="L33" s="15">
        <f>10924.54*12</f>
        <v>131094.48000000001</v>
      </c>
      <c r="M33" s="15">
        <v>168142.92</v>
      </c>
      <c r="N33" s="39">
        <f t="shared" si="1"/>
        <v>924899.39</v>
      </c>
      <c r="O33" s="15">
        <v>912738.52</v>
      </c>
      <c r="P33" s="15">
        <v>0</v>
      </c>
      <c r="Q33" s="15">
        <v>0</v>
      </c>
      <c r="R33" s="15">
        <v>12160.87</v>
      </c>
      <c r="S33" s="15">
        <v>0</v>
      </c>
      <c r="T33" s="16">
        <f t="shared" si="5"/>
        <v>690594.56</v>
      </c>
      <c r="U33" s="15">
        <v>3900.95</v>
      </c>
      <c r="V33" s="15">
        <v>-315815.21000000002</v>
      </c>
      <c r="W33" s="17">
        <v>195858.28</v>
      </c>
      <c r="X33" s="58"/>
      <c r="Y33" s="63">
        <f t="shared" si="3"/>
        <v>0</v>
      </c>
      <c r="Z33" s="46">
        <f t="shared" si="4"/>
        <v>924899.39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 x14ac:dyDescent="0.2">
      <c r="A34" s="1">
        <v>26</v>
      </c>
      <c r="B34" s="50">
        <v>22</v>
      </c>
      <c r="C34" s="64" t="s">
        <v>69</v>
      </c>
      <c r="D34" s="64">
        <v>2</v>
      </c>
      <c r="E34" s="64"/>
      <c r="F34" s="64"/>
      <c r="G34" s="53">
        <v>578.88</v>
      </c>
      <c r="H34" s="53">
        <v>-40612.85</v>
      </c>
      <c r="I34" s="53">
        <v>154147.13</v>
      </c>
      <c r="J34" s="39">
        <f t="shared" si="0"/>
        <v>815140.26</v>
      </c>
      <c r="K34" s="15">
        <f>815140.26-L34-M34</f>
        <v>568555.13</v>
      </c>
      <c r="L34" s="15">
        <f>9071.43*12</f>
        <v>108857.16</v>
      </c>
      <c r="M34" s="15">
        <v>137727.97</v>
      </c>
      <c r="N34" s="39">
        <f t="shared" si="1"/>
        <v>845218.26</v>
      </c>
      <c r="O34" s="15">
        <v>785231.14</v>
      </c>
      <c r="P34" s="15">
        <v>0</v>
      </c>
      <c r="Q34" s="15">
        <v>0</v>
      </c>
      <c r="R34" s="15">
        <f>7520.87+52466.25</f>
        <v>59987.12</v>
      </c>
      <c r="S34" s="15">
        <v>0</v>
      </c>
      <c r="T34" s="16">
        <f t="shared" si="5"/>
        <v>804605.41</v>
      </c>
      <c r="U34" s="15">
        <v>2086.9499999999998</v>
      </c>
      <c r="V34" s="15">
        <v>-45887.57</v>
      </c>
      <c r="W34" s="17">
        <v>185564.32</v>
      </c>
      <c r="X34" s="58"/>
      <c r="Y34" s="63">
        <f t="shared" si="3"/>
        <v>0</v>
      </c>
      <c r="Z34" s="46">
        <f>N34</f>
        <v>845218.26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 x14ac:dyDescent="0.2">
      <c r="A35" s="1">
        <v>45</v>
      </c>
      <c r="B35" s="50">
        <v>23</v>
      </c>
      <c r="C35" s="64" t="s">
        <v>69</v>
      </c>
      <c r="D35" s="64">
        <v>4</v>
      </c>
      <c r="E35" s="64"/>
      <c r="F35" s="64"/>
      <c r="G35" s="53">
        <v>522.72</v>
      </c>
      <c r="H35" s="53">
        <v>-125868.47</v>
      </c>
      <c r="I35" s="53">
        <v>111498.2</v>
      </c>
      <c r="J35" s="39">
        <f t="shared" si="0"/>
        <v>565048.23</v>
      </c>
      <c r="K35" s="15">
        <f>565048.23-L35-M35</f>
        <v>397727.83999999997</v>
      </c>
      <c r="L35" s="15">
        <f>6085.34*12</f>
        <v>73024.08</v>
      </c>
      <c r="M35" s="15">
        <v>94296.31</v>
      </c>
      <c r="N35" s="39">
        <f t="shared" si="1"/>
        <v>574841.39</v>
      </c>
      <c r="O35" s="15">
        <v>563480.52</v>
      </c>
      <c r="P35" s="15">
        <v>0</v>
      </c>
      <c r="Q35" s="15">
        <v>0</v>
      </c>
      <c r="R35" s="15">
        <v>11360.87</v>
      </c>
      <c r="S35" s="15">
        <v>0</v>
      </c>
      <c r="T35" s="16">
        <f t="shared" si="5"/>
        <v>448972.92000000004</v>
      </c>
      <c r="U35" s="53">
        <v>4278.3100000000004</v>
      </c>
      <c r="V35" s="53">
        <v>-128359.23</v>
      </c>
      <c r="W35" s="65">
        <v>116821.5</v>
      </c>
      <c r="X35" s="58"/>
      <c r="Y35" s="63">
        <f t="shared" si="3"/>
        <v>0</v>
      </c>
      <c r="Z35" s="46">
        <f t="shared" ref="Z35:Z39" si="9">N35</f>
        <v>574841.39</v>
      </c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 x14ac:dyDescent="0.2">
      <c r="A36" s="1">
        <v>24</v>
      </c>
      <c r="B36" s="50">
        <v>24</v>
      </c>
      <c r="C36" s="64" t="s">
        <v>69</v>
      </c>
      <c r="D36" s="64">
        <v>6</v>
      </c>
      <c r="E36" s="64"/>
      <c r="F36" s="64"/>
      <c r="G36" s="53">
        <v>0</v>
      </c>
      <c r="H36" s="53">
        <v>-203929.86</v>
      </c>
      <c r="I36" s="53">
        <v>57771.46</v>
      </c>
      <c r="J36" s="39">
        <f t="shared" si="0"/>
        <v>813437.45</v>
      </c>
      <c r="K36" s="15">
        <f>813437.45-L36-M36</f>
        <v>594005.92999999993</v>
      </c>
      <c r="L36" s="15">
        <f>6728.6*12</f>
        <v>80743.200000000012</v>
      </c>
      <c r="M36" s="15">
        <v>138688.32000000001</v>
      </c>
      <c r="N36" s="39">
        <f t="shared" si="1"/>
        <v>805272.49</v>
      </c>
      <c r="O36" s="15">
        <v>793911.62</v>
      </c>
      <c r="P36" s="15">
        <v>0</v>
      </c>
      <c r="Q36" s="15">
        <v>0</v>
      </c>
      <c r="R36" s="15">
        <v>11360.87</v>
      </c>
      <c r="S36" s="15">
        <v>0</v>
      </c>
      <c r="T36" s="16">
        <f t="shared" si="5"/>
        <v>601342.63</v>
      </c>
      <c r="U36" s="15">
        <v>3213.4</v>
      </c>
      <c r="V36" s="15">
        <v>-202684.52</v>
      </c>
      <c r="W36" s="17">
        <v>80510.69</v>
      </c>
      <c r="X36" s="58"/>
      <c r="Y36" s="63">
        <f t="shared" si="3"/>
        <v>0</v>
      </c>
      <c r="Z36" s="46">
        <f t="shared" si="9"/>
        <v>805272.49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x14ac:dyDescent="0.2">
      <c r="A37" s="1">
        <v>33</v>
      </c>
      <c r="B37" s="50">
        <v>25</v>
      </c>
      <c r="C37" s="64" t="s">
        <v>69</v>
      </c>
      <c r="D37" s="64">
        <v>8</v>
      </c>
      <c r="E37" s="64"/>
      <c r="F37" s="64"/>
      <c r="G37" s="53">
        <v>0</v>
      </c>
      <c r="H37" s="53">
        <v>-124646.45</v>
      </c>
      <c r="I37" s="53">
        <v>18345.240000000002</v>
      </c>
      <c r="J37" s="39">
        <f t="shared" si="0"/>
        <v>126820.23999999999</v>
      </c>
      <c r="K37" s="15">
        <f>126820.24-L37-M37</f>
        <v>80788.44</v>
      </c>
      <c r="L37" s="15">
        <f>1563.83*12</f>
        <v>18765.96</v>
      </c>
      <c r="M37" s="15">
        <v>27265.84</v>
      </c>
      <c r="N37" s="39">
        <f t="shared" si="1"/>
        <v>135545.29</v>
      </c>
      <c r="O37" s="15">
        <v>135545.29</v>
      </c>
      <c r="P37" s="15">
        <v>0</v>
      </c>
      <c r="Q37" s="15">
        <v>0</v>
      </c>
      <c r="R37" s="15">
        <v>0</v>
      </c>
      <c r="S37" s="15">
        <v>0</v>
      </c>
      <c r="T37" s="16">
        <f t="shared" si="5"/>
        <v>10898.840000000011</v>
      </c>
      <c r="U37" s="15">
        <v>0</v>
      </c>
      <c r="V37" s="15">
        <v>-124028.57</v>
      </c>
      <c r="W37" s="17">
        <v>9620.19</v>
      </c>
      <c r="X37" s="58"/>
      <c r="Y37" s="63">
        <f t="shared" si="3"/>
        <v>-2.7284841053187847E-11</v>
      </c>
      <c r="Z37" s="46">
        <f t="shared" si="9"/>
        <v>135545.29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</row>
    <row r="38" spans="1:39" x14ac:dyDescent="0.2">
      <c r="A38" s="1">
        <v>18</v>
      </c>
      <c r="B38" s="50">
        <v>26</v>
      </c>
      <c r="C38" s="64" t="s">
        <v>70</v>
      </c>
      <c r="D38" s="64">
        <v>100</v>
      </c>
      <c r="E38" s="64"/>
      <c r="F38" s="64"/>
      <c r="G38" s="53">
        <v>1676.64</v>
      </c>
      <c r="H38" s="53">
        <v>-285731.65999999997</v>
      </c>
      <c r="I38" s="53">
        <v>274359.53000000003</v>
      </c>
      <c r="J38" s="39">
        <f t="shared" ref="J38" si="10">K38+L38+M38</f>
        <v>1872348.07</v>
      </c>
      <c r="K38" s="15">
        <f>1872348.07-L38-M38</f>
        <v>1428446.2700000003</v>
      </c>
      <c r="L38" s="15">
        <f>10670.72*12</f>
        <v>128048.63999999998</v>
      </c>
      <c r="M38" s="15">
        <v>315853.15999999997</v>
      </c>
      <c r="N38" s="39">
        <f t="shared" si="1"/>
        <v>1900382.81</v>
      </c>
      <c r="O38" s="15">
        <v>1879509.21</v>
      </c>
      <c r="P38" s="15">
        <v>0</v>
      </c>
      <c r="Q38" s="15">
        <v>0</v>
      </c>
      <c r="R38" s="15">
        <f>15273.6+5600</f>
        <v>20873.599999999999</v>
      </c>
      <c r="S38" s="15">
        <v>0</v>
      </c>
      <c r="T38" s="16">
        <f t="shared" si="5"/>
        <v>1614651.1500000001</v>
      </c>
      <c r="U38" s="15">
        <v>9239.68</v>
      </c>
      <c r="V38" s="15">
        <v>-206567.38</v>
      </c>
      <c r="W38" s="17">
        <v>274761.43</v>
      </c>
      <c r="X38" s="58"/>
      <c r="Y38" s="63">
        <f t="shared" si="3"/>
        <v>0</v>
      </c>
      <c r="Z38" s="46">
        <f t="shared" si="9"/>
        <v>1900382.81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x14ac:dyDescent="0.2">
      <c r="A39" s="1">
        <v>14</v>
      </c>
      <c r="B39" s="50">
        <v>27</v>
      </c>
      <c r="C39" s="64" t="s">
        <v>70</v>
      </c>
      <c r="D39" s="64">
        <v>102</v>
      </c>
      <c r="E39" s="64"/>
      <c r="F39" s="64"/>
      <c r="G39" s="53">
        <v>8377.2000000000007</v>
      </c>
      <c r="H39" s="53">
        <v>-197795.63</v>
      </c>
      <c r="I39" s="53">
        <v>313388.03999999998</v>
      </c>
      <c r="J39" s="39">
        <f t="shared" si="0"/>
        <v>2322280.3500000006</v>
      </c>
      <c r="K39" s="15">
        <f>2322280.35-L39-M39</f>
        <v>1738652.8500000003</v>
      </c>
      <c r="L39" s="15">
        <f>15563.4*12</f>
        <v>186760.8</v>
      </c>
      <c r="M39" s="15">
        <v>396866.7</v>
      </c>
      <c r="N39" s="39">
        <f t="shared" si="1"/>
        <v>2166874.27</v>
      </c>
      <c r="O39" s="15">
        <v>2153680.67</v>
      </c>
      <c r="P39" s="15">
        <v>0</v>
      </c>
      <c r="Q39" s="15">
        <v>0</v>
      </c>
      <c r="R39" s="15">
        <f>7593.6+5600</f>
        <v>13193.6</v>
      </c>
      <c r="S39" s="15">
        <v>0</v>
      </c>
      <c r="T39" s="16">
        <f t="shared" si="5"/>
        <v>1969078.6400000001</v>
      </c>
      <c r="U39" s="15">
        <v>11963.79</v>
      </c>
      <c r="V39" s="49">
        <v>-202890.65</v>
      </c>
      <c r="W39" s="66">
        <v>485574.31</v>
      </c>
      <c r="X39" s="58"/>
      <c r="Y39" s="63">
        <f t="shared" si="3"/>
        <v>5.2386894822120667E-10</v>
      </c>
      <c r="Z39" s="46">
        <f t="shared" si="9"/>
        <v>2166874.27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idden="1" x14ac:dyDescent="0.2">
      <c r="B40" s="50"/>
      <c r="C40" s="14"/>
      <c r="D40" s="14"/>
      <c r="E40" s="14"/>
      <c r="F40" s="14"/>
      <c r="G40" s="15"/>
      <c r="H40" s="15"/>
      <c r="I40" s="15"/>
      <c r="J40" s="39"/>
      <c r="K40" s="15"/>
      <c r="L40" s="15"/>
      <c r="M40" s="15"/>
      <c r="N40" s="39"/>
      <c r="O40" s="15"/>
      <c r="P40" s="15"/>
      <c r="Q40" s="15"/>
      <c r="R40" s="15"/>
      <c r="S40" s="15"/>
      <c r="T40" s="16"/>
      <c r="U40" s="15"/>
      <c r="V40" s="15"/>
      <c r="W40" s="17"/>
      <c r="X40" s="58"/>
      <c r="Y40" s="63">
        <f t="shared" si="3"/>
        <v>0</v>
      </c>
      <c r="Z40" s="46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</row>
    <row r="41" spans="1:39" hidden="1" x14ac:dyDescent="0.2">
      <c r="B41" s="50"/>
      <c r="C41" s="14"/>
      <c r="D41" s="14"/>
      <c r="E41" s="14"/>
      <c r="F41" s="14"/>
      <c r="G41" s="15"/>
      <c r="H41" s="15"/>
      <c r="I41" s="15"/>
      <c r="J41" s="39"/>
      <c r="K41" s="15"/>
      <c r="L41" s="15"/>
      <c r="M41" s="15"/>
      <c r="N41" s="39"/>
      <c r="O41" s="15"/>
      <c r="P41" s="15"/>
      <c r="Q41" s="15"/>
      <c r="R41" s="15"/>
      <c r="S41" s="15"/>
      <c r="T41" s="16"/>
      <c r="U41" s="15"/>
      <c r="V41" s="15"/>
      <c r="W41" s="17"/>
      <c r="X41" s="58"/>
      <c r="Y41" s="63">
        <f t="shared" si="3"/>
        <v>0</v>
      </c>
      <c r="Z41" s="46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hidden="1" x14ac:dyDescent="0.2">
      <c r="B42" s="50"/>
      <c r="C42" s="14"/>
      <c r="D42" s="14"/>
      <c r="E42" s="14"/>
      <c r="F42" s="14"/>
      <c r="G42" s="15"/>
      <c r="H42" s="15"/>
      <c r="I42" s="15"/>
      <c r="J42" s="39"/>
      <c r="K42" s="15"/>
      <c r="L42" s="15"/>
      <c r="M42" s="15"/>
      <c r="N42" s="39"/>
      <c r="O42" s="15"/>
      <c r="P42" s="15"/>
      <c r="Q42" s="15"/>
      <c r="R42" s="15"/>
      <c r="S42" s="15"/>
      <c r="T42" s="16"/>
      <c r="U42" s="15"/>
      <c r="V42" s="15"/>
      <c r="W42" s="17"/>
      <c r="X42" s="58"/>
      <c r="Y42" s="63">
        <f t="shared" si="3"/>
        <v>0</v>
      </c>
      <c r="Z42" s="46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hidden="1" x14ac:dyDescent="0.2">
      <c r="B43" s="50"/>
      <c r="C43" s="14"/>
      <c r="D43" s="14"/>
      <c r="E43" s="14"/>
      <c r="F43" s="14"/>
      <c r="G43" s="15"/>
      <c r="H43" s="15"/>
      <c r="I43" s="15"/>
      <c r="J43" s="39"/>
      <c r="K43" s="15"/>
      <c r="L43" s="15"/>
      <c r="M43" s="15"/>
      <c r="N43" s="39"/>
      <c r="O43" s="15"/>
      <c r="P43" s="15"/>
      <c r="Q43" s="15"/>
      <c r="R43" s="15"/>
      <c r="S43" s="15"/>
      <c r="T43" s="16"/>
      <c r="U43" s="15"/>
      <c r="V43" s="15"/>
      <c r="W43" s="17"/>
      <c r="X43" s="58"/>
      <c r="Y43" s="63">
        <f t="shared" si="3"/>
        <v>0</v>
      </c>
      <c r="Z43" s="46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hidden="1" x14ac:dyDescent="0.2">
      <c r="B44" s="50"/>
      <c r="C44" s="14"/>
      <c r="D44" s="14"/>
      <c r="E44" s="14"/>
      <c r="F44" s="14"/>
      <c r="G44" s="15"/>
      <c r="H44" s="15"/>
      <c r="I44" s="15"/>
      <c r="J44" s="39"/>
      <c r="K44" s="15"/>
      <c r="L44" s="15"/>
      <c r="M44" s="15"/>
      <c r="N44" s="39"/>
      <c r="O44" s="15"/>
      <c r="P44" s="15"/>
      <c r="Q44" s="15"/>
      <c r="R44" s="15"/>
      <c r="S44" s="15"/>
      <c r="T44" s="16"/>
      <c r="U44" s="15"/>
      <c r="V44" s="15"/>
      <c r="W44" s="17"/>
      <c r="X44" s="58"/>
      <c r="Y44" s="63">
        <f t="shared" si="3"/>
        <v>0</v>
      </c>
      <c r="Z44" s="46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</row>
    <row r="45" spans="1:39" hidden="1" x14ac:dyDescent="0.2">
      <c r="B45" s="50"/>
      <c r="C45" s="14"/>
      <c r="D45" s="14"/>
      <c r="E45" s="14"/>
      <c r="F45" s="14"/>
      <c r="G45" s="15"/>
      <c r="H45" s="15"/>
      <c r="I45" s="15"/>
      <c r="J45" s="39"/>
      <c r="K45" s="15"/>
      <c r="L45" s="15"/>
      <c r="M45" s="15"/>
      <c r="N45" s="39"/>
      <c r="O45" s="15"/>
      <c r="P45" s="15"/>
      <c r="Q45" s="15"/>
      <c r="R45" s="15"/>
      <c r="S45" s="15"/>
      <c r="T45" s="16"/>
      <c r="U45" s="15"/>
      <c r="V45" s="15"/>
      <c r="W45" s="17"/>
      <c r="X45" s="58"/>
      <c r="Y45" s="63">
        <f t="shared" si="3"/>
        <v>0</v>
      </c>
      <c r="Z45" s="46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idden="1" x14ac:dyDescent="0.2">
      <c r="B46" s="50"/>
      <c r="C46" s="14"/>
      <c r="D46" s="14"/>
      <c r="E46" s="14"/>
      <c r="F46" s="14"/>
      <c r="G46" s="15"/>
      <c r="H46" s="15"/>
      <c r="I46" s="15"/>
      <c r="J46" s="39"/>
      <c r="K46" s="15"/>
      <c r="L46" s="15"/>
      <c r="M46" s="15"/>
      <c r="N46" s="39"/>
      <c r="O46" s="15"/>
      <c r="P46" s="15"/>
      <c r="Q46" s="15"/>
      <c r="R46" s="15"/>
      <c r="S46" s="15"/>
      <c r="T46" s="16"/>
      <c r="U46" s="15"/>
      <c r="V46" s="15"/>
      <c r="W46" s="17"/>
      <c r="X46" s="58"/>
      <c r="Y46" s="63">
        <f t="shared" si="3"/>
        <v>0</v>
      </c>
      <c r="Z46" s="46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</row>
    <row r="47" spans="1:39" hidden="1" x14ac:dyDescent="0.2">
      <c r="B47" s="50"/>
      <c r="C47" s="14"/>
      <c r="D47" s="14"/>
      <c r="E47" s="14"/>
      <c r="F47" s="14"/>
      <c r="G47" s="15"/>
      <c r="H47" s="15"/>
      <c r="I47" s="15"/>
      <c r="J47" s="39"/>
      <c r="K47" s="15"/>
      <c r="L47" s="15"/>
      <c r="M47" s="15"/>
      <c r="N47" s="39"/>
      <c r="O47" s="15"/>
      <c r="P47" s="15"/>
      <c r="Q47" s="15"/>
      <c r="R47" s="15"/>
      <c r="S47" s="15"/>
      <c r="T47" s="16"/>
      <c r="U47" s="15"/>
      <c r="V47" s="15"/>
      <c r="W47" s="17"/>
      <c r="X47" s="58"/>
      <c r="Y47" s="63">
        <f t="shared" si="3"/>
        <v>0</v>
      </c>
      <c r="Z47" s="4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hidden="1" x14ac:dyDescent="0.2">
      <c r="B48" s="50"/>
      <c r="C48" s="14"/>
      <c r="D48" s="14"/>
      <c r="E48" s="14"/>
      <c r="F48" s="14"/>
      <c r="G48" s="15"/>
      <c r="H48" s="15"/>
      <c r="I48" s="15"/>
      <c r="J48" s="39"/>
      <c r="K48" s="15"/>
      <c r="L48" s="15"/>
      <c r="M48" s="15"/>
      <c r="N48" s="39"/>
      <c r="O48" s="15"/>
      <c r="P48" s="15"/>
      <c r="Q48" s="15"/>
      <c r="R48" s="15"/>
      <c r="S48" s="15"/>
      <c r="T48" s="16"/>
      <c r="U48" s="15"/>
      <c r="V48" s="15"/>
      <c r="W48" s="17"/>
      <c r="X48" s="58"/>
      <c r="Y48" s="63">
        <f t="shared" si="3"/>
        <v>0</v>
      </c>
      <c r="Z48" s="46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</row>
    <row r="49" spans="2:39" hidden="1" x14ac:dyDescent="0.2">
      <c r="B49" s="50"/>
      <c r="C49" s="14"/>
      <c r="D49" s="14"/>
      <c r="E49" s="14"/>
      <c r="F49" s="14"/>
      <c r="G49" s="15"/>
      <c r="H49" s="15"/>
      <c r="I49" s="15"/>
      <c r="J49" s="39"/>
      <c r="K49" s="15"/>
      <c r="L49" s="15"/>
      <c r="M49" s="15"/>
      <c r="N49" s="39"/>
      <c r="O49" s="15"/>
      <c r="P49" s="15"/>
      <c r="Q49" s="15"/>
      <c r="R49" s="15"/>
      <c r="S49" s="15"/>
      <c r="T49" s="16"/>
      <c r="U49" s="15"/>
      <c r="V49" s="15"/>
      <c r="W49" s="17"/>
      <c r="X49" s="58"/>
      <c r="Y49" s="63">
        <f t="shared" si="3"/>
        <v>0</v>
      </c>
      <c r="Z49" s="46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2:39" hidden="1" x14ac:dyDescent="0.2">
      <c r="B50" s="50"/>
      <c r="C50" s="14"/>
      <c r="D50" s="14"/>
      <c r="E50" s="14"/>
      <c r="F50" s="14"/>
      <c r="G50" s="15"/>
      <c r="H50" s="15"/>
      <c r="I50" s="15"/>
      <c r="J50" s="39"/>
      <c r="K50" s="15"/>
      <c r="L50" s="15"/>
      <c r="M50" s="15"/>
      <c r="N50" s="39"/>
      <c r="O50" s="15"/>
      <c r="P50" s="15"/>
      <c r="Q50" s="15"/>
      <c r="R50" s="15"/>
      <c r="S50" s="15"/>
      <c r="T50" s="16"/>
      <c r="U50" s="15"/>
      <c r="V50" s="15"/>
      <c r="W50" s="17"/>
      <c r="X50" s="58"/>
      <c r="Y50" s="63">
        <f t="shared" si="3"/>
        <v>0</v>
      </c>
      <c r="Z50" s="4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2:39" hidden="1" x14ac:dyDescent="0.2">
      <c r="B51" s="50"/>
      <c r="C51" s="14"/>
      <c r="D51" s="14"/>
      <c r="E51" s="14"/>
      <c r="F51" s="14"/>
      <c r="G51" s="15"/>
      <c r="H51" s="15"/>
      <c r="I51" s="15"/>
      <c r="J51" s="39"/>
      <c r="K51" s="15"/>
      <c r="L51" s="15"/>
      <c r="M51" s="15"/>
      <c r="N51" s="39"/>
      <c r="O51" s="15"/>
      <c r="P51" s="15"/>
      <c r="Q51" s="15"/>
      <c r="R51" s="15"/>
      <c r="S51" s="15"/>
      <c r="T51" s="16"/>
      <c r="U51" s="15"/>
      <c r="V51" s="15"/>
      <c r="W51" s="17"/>
      <c r="X51" s="58"/>
      <c r="Y51" s="63">
        <f t="shared" si="3"/>
        <v>0</v>
      </c>
      <c r="Z51" s="4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2:39" hidden="1" x14ac:dyDescent="0.2">
      <c r="B52" s="50"/>
      <c r="C52" s="14"/>
      <c r="D52" s="14"/>
      <c r="E52" s="14"/>
      <c r="F52" s="14"/>
      <c r="G52" s="15"/>
      <c r="H52" s="15"/>
      <c r="I52" s="15"/>
      <c r="J52" s="39"/>
      <c r="K52" s="15"/>
      <c r="L52" s="15"/>
      <c r="M52" s="15"/>
      <c r="N52" s="39"/>
      <c r="O52" s="15"/>
      <c r="P52" s="15"/>
      <c r="Q52" s="15"/>
      <c r="R52" s="15"/>
      <c r="S52" s="15"/>
      <c r="T52" s="16"/>
      <c r="U52" s="15"/>
      <c r="V52" s="15"/>
      <c r="W52" s="17"/>
      <c r="X52" s="58"/>
      <c r="Y52" s="63">
        <f t="shared" si="3"/>
        <v>0</v>
      </c>
      <c r="Z52" s="4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idden="1" x14ac:dyDescent="0.2">
      <c r="B53" s="50"/>
      <c r="C53" s="14"/>
      <c r="D53" s="14"/>
      <c r="E53" s="14"/>
      <c r="F53" s="14"/>
      <c r="G53" s="15"/>
      <c r="H53" s="15"/>
      <c r="I53" s="15"/>
      <c r="J53" s="39"/>
      <c r="K53" s="15"/>
      <c r="L53" s="15"/>
      <c r="M53" s="15"/>
      <c r="N53" s="39"/>
      <c r="O53" s="15"/>
      <c r="P53" s="15"/>
      <c r="Q53" s="15"/>
      <c r="R53" s="15"/>
      <c r="S53" s="15"/>
      <c r="T53" s="16"/>
      <c r="U53" s="15"/>
      <c r="V53" s="15"/>
      <c r="W53" s="17"/>
      <c r="X53" s="58"/>
      <c r="Y53" s="63">
        <f t="shared" si="3"/>
        <v>0</v>
      </c>
      <c r="Z53" s="46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2:39" hidden="1" x14ac:dyDescent="0.2">
      <c r="B54" s="50"/>
      <c r="C54" s="14"/>
      <c r="D54" s="14"/>
      <c r="E54" s="14"/>
      <c r="F54" s="14"/>
      <c r="G54" s="15"/>
      <c r="H54" s="15"/>
      <c r="I54" s="15"/>
      <c r="J54" s="39"/>
      <c r="K54" s="15"/>
      <c r="L54" s="49"/>
      <c r="M54" s="15"/>
      <c r="N54" s="39"/>
      <c r="O54" s="15"/>
      <c r="P54" s="15"/>
      <c r="Q54" s="15"/>
      <c r="R54" s="15"/>
      <c r="S54" s="15"/>
      <c r="T54" s="16"/>
      <c r="U54" s="15"/>
      <c r="V54" s="15"/>
      <c r="W54" s="17"/>
      <c r="X54" s="58"/>
      <c r="Y54" s="63">
        <f t="shared" si="3"/>
        <v>0</v>
      </c>
      <c r="Z54" s="46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2:39" hidden="1" x14ac:dyDescent="0.2">
      <c r="B55" s="50"/>
      <c r="C55" s="14"/>
      <c r="D55" s="14"/>
      <c r="E55" s="14"/>
      <c r="F55" s="14"/>
      <c r="G55" s="15"/>
      <c r="H55" s="15"/>
      <c r="I55" s="15"/>
      <c r="J55" s="39"/>
      <c r="K55" s="15"/>
      <c r="L55" s="15"/>
      <c r="M55" s="15"/>
      <c r="N55" s="39"/>
      <c r="O55" s="15"/>
      <c r="P55" s="15"/>
      <c r="Q55" s="15"/>
      <c r="R55" s="15"/>
      <c r="S55" s="15"/>
      <c r="T55" s="16"/>
      <c r="U55" s="15"/>
      <c r="V55" s="15"/>
      <c r="W55" s="17"/>
      <c r="X55" s="58"/>
      <c r="Y55" s="63">
        <f t="shared" si="3"/>
        <v>0</v>
      </c>
      <c r="Z55" s="46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2:39" hidden="1" x14ac:dyDescent="0.2">
      <c r="B56" s="50"/>
      <c r="C56" s="14"/>
      <c r="D56" s="14"/>
      <c r="E56" s="14"/>
      <c r="F56" s="14"/>
      <c r="G56" s="15"/>
      <c r="H56" s="15"/>
      <c r="I56" s="15"/>
      <c r="J56" s="39"/>
      <c r="K56" s="15"/>
      <c r="L56" s="15"/>
      <c r="M56" s="15"/>
      <c r="N56" s="39"/>
      <c r="O56" s="15"/>
      <c r="P56" s="15"/>
      <c r="Q56" s="15"/>
      <c r="R56" s="15"/>
      <c r="S56" s="15"/>
      <c r="T56" s="16"/>
      <c r="U56" s="15"/>
      <c r="V56" s="15"/>
      <c r="W56" s="17"/>
      <c r="X56" s="58"/>
      <c r="Y56" s="63">
        <f t="shared" si="3"/>
        <v>0</v>
      </c>
      <c r="Z56" s="46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2:39" hidden="1" x14ac:dyDescent="0.2">
      <c r="B57" s="50"/>
      <c r="C57" s="14"/>
      <c r="D57" s="14"/>
      <c r="E57" s="14"/>
      <c r="F57" s="14"/>
      <c r="G57" s="15"/>
      <c r="H57" s="15"/>
      <c r="I57" s="15"/>
      <c r="J57" s="39"/>
      <c r="K57" s="15"/>
      <c r="L57" s="15"/>
      <c r="M57" s="15"/>
      <c r="N57" s="39"/>
      <c r="O57" s="15"/>
      <c r="P57" s="15"/>
      <c r="Q57" s="15"/>
      <c r="R57" s="15"/>
      <c r="S57" s="15"/>
      <c r="T57" s="16"/>
      <c r="U57" s="15"/>
      <c r="V57" s="15"/>
      <c r="W57" s="17"/>
      <c r="X57" s="58"/>
      <c r="Y57" s="63">
        <f t="shared" si="3"/>
        <v>0</v>
      </c>
      <c r="Z57" s="46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2:39" hidden="1" x14ac:dyDescent="0.2">
      <c r="B58" s="50"/>
      <c r="C58" s="14"/>
      <c r="D58" s="14"/>
      <c r="E58" s="14"/>
      <c r="F58" s="14"/>
      <c r="G58" s="15"/>
      <c r="H58" s="15"/>
      <c r="I58" s="15"/>
      <c r="J58" s="39"/>
      <c r="K58" s="15"/>
      <c r="L58" s="15"/>
      <c r="M58" s="15"/>
      <c r="N58" s="39"/>
      <c r="O58" s="15"/>
      <c r="P58" s="15"/>
      <c r="Q58" s="15"/>
      <c r="R58" s="15"/>
      <c r="S58" s="15"/>
      <c r="T58" s="16"/>
      <c r="U58" s="15"/>
      <c r="V58" s="15"/>
      <c r="W58" s="17"/>
      <c r="X58" s="58"/>
      <c r="Y58" s="63">
        <f t="shared" si="3"/>
        <v>0</v>
      </c>
      <c r="Z58" s="46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2:39" hidden="1" x14ac:dyDescent="0.2">
      <c r="B59" s="51"/>
      <c r="G59" s="11"/>
      <c r="H59" s="11"/>
      <c r="I59" s="11"/>
      <c r="J59" s="52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63">
        <f t="shared" si="3"/>
        <v>0</v>
      </c>
      <c r="Z59" s="47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2:39" hidden="1" x14ac:dyDescent="0.2">
      <c r="B60" s="51"/>
      <c r="G60" s="11"/>
      <c r="H60" s="11"/>
      <c r="I60" s="11"/>
      <c r="J60" s="52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63">
        <f t="shared" si="3"/>
        <v>0</v>
      </c>
      <c r="Z60" s="47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2:39" hidden="1" x14ac:dyDescent="0.2">
      <c r="B61" s="51"/>
      <c r="G61" s="11"/>
      <c r="H61" s="11"/>
      <c r="I61" s="11"/>
      <c r="J61" s="52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63">
        <f t="shared" si="3"/>
        <v>0</v>
      </c>
      <c r="Z61" s="47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2:39" hidden="1" x14ac:dyDescent="0.2">
      <c r="B62" s="51"/>
      <c r="G62" s="11"/>
      <c r="H62" s="11"/>
      <c r="I62" s="11"/>
      <c r="J62" s="52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63">
        <f t="shared" si="3"/>
        <v>0</v>
      </c>
      <c r="Z62" s="47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2:39" hidden="1" x14ac:dyDescent="0.2">
      <c r="B63" s="51"/>
      <c r="G63" s="11"/>
      <c r="H63" s="11"/>
      <c r="I63" s="11"/>
      <c r="J63" s="52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63">
        <f t="shared" si="3"/>
        <v>0</v>
      </c>
      <c r="Z63" s="47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2:39" hidden="1" x14ac:dyDescent="0.2">
      <c r="B64" s="51"/>
      <c r="G64" s="11"/>
      <c r="H64" s="11"/>
      <c r="I64" s="11"/>
      <c r="J64" s="52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63">
        <f t="shared" si="3"/>
        <v>0</v>
      </c>
      <c r="Z64" s="47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2:39" x14ac:dyDescent="0.2">
      <c r="B65" s="50">
        <v>28</v>
      </c>
      <c r="C65" s="68" t="s">
        <v>72</v>
      </c>
      <c r="D65" s="14">
        <v>45</v>
      </c>
      <c r="E65" s="14"/>
      <c r="F65" s="38" t="s">
        <v>73</v>
      </c>
      <c r="G65" s="38">
        <v>0</v>
      </c>
      <c r="H65" s="15">
        <v>-143565.43</v>
      </c>
      <c r="I65" s="15">
        <v>35883.21</v>
      </c>
      <c r="J65" s="39">
        <f t="shared" ref="J65:J71" si="11">K65+L65+M65</f>
        <v>47920.98</v>
      </c>
      <c r="K65" s="15">
        <f>47920.98-L65-M65</f>
        <v>31969.15</v>
      </c>
      <c r="L65" s="15">
        <f>531.73*12</f>
        <v>6380.76</v>
      </c>
      <c r="M65" s="11">
        <v>9571.07</v>
      </c>
      <c r="N65" s="39">
        <f t="shared" ref="N65:N71" si="12">O65+P65+Q65+R65+S65</f>
        <v>43787.39</v>
      </c>
      <c r="O65" s="15">
        <v>43787.39</v>
      </c>
      <c r="P65" s="15"/>
      <c r="Q65" s="15"/>
      <c r="R65" s="15">
        <v>0</v>
      </c>
      <c r="S65" s="15"/>
      <c r="T65" s="16">
        <f t="shared" ref="T65:T71" si="13">N65+H65</f>
        <v>-99778.04</v>
      </c>
      <c r="U65" s="15">
        <v>0</v>
      </c>
      <c r="V65" s="15">
        <v>-156186.95000000001</v>
      </c>
      <c r="W65" s="15">
        <v>40016.800000000003</v>
      </c>
      <c r="X65" s="11"/>
      <c r="Y65" s="63">
        <f t="shared" si="3"/>
        <v>0</v>
      </c>
      <c r="Z65" s="46">
        <f t="shared" ref="Z65:Z71" si="14">N65</f>
        <v>43787.39</v>
      </c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2:39" x14ac:dyDescent="0.2">
      <c r="B66" s="50">
        <v>29</v>
      </c>
      <c r="C66" s="68" t="s">
        <v>72</v>
      </c>
      <c r="D66" s="14">
        <v>47</v>
      </c>
      <c r="E66" s="14"/>
      <c r="F66" s="38" t="s">
        <v>73</v>
      </c>
      <c r="G66" s="38">
        <v>0</v>
      </c>
      <c r="H66" s="15">
        <v>-107688.43</v>
      </c>
      <c r="I66" s="15">
        <v>3250.7</v>
      </c>
      <c r="J66" s="39">
        <f t="shared" si="11"/>
        <v>47005.07</v>
      </c>
      <c r="K66" s="15">
        <f>47005.07-L66-M66</f>
        <v>31358.269999999997</v>
      </c>
      <c r="L66" s="15">
        <f>521.56*12</f>
        <v>6258.7199999999993</v>
      </c>
      <c r="M66" s="11">
        <v>9388.08</v>
      </c>
      <c r="N66" s="39">
        <f t="shared" si="12"/>
        <v>46115.81</v>
      </c>
      <c r="O66" s="15">
        <v>46115.81</v>
      </c>
      <c r="P66" s="15"/>
      <c r="Q66" s="15"/>
      <c r="R66" s="15">
        <v>0</v>
      </c>
      <c r="S66" s="15"/>
      <c r="T66" s="16">
        <f t="shared" si="13"/>
        <v>-61572.619999999995</v>
      </c>
      <c r="U66" s="15">
        <v>0</v>
      </c>
      <c r="V66" s="15">
        <v>-126972.64</v>
      </c>
      <c r="W66" s="15">
        <v>4139.96</v>
      </c>
      <c r="X66" s="11"/>
      <c r="Y66" s="63">
        <f t="shared" si="3"/>
        <v>0</v>
      </c>
      <c r="Z66" s="46">
        <f t="shared" si="14"/>
        <v>46115.81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2:39" x14ac:dyDescent="0.2">
      <c r="B67" s="50">
        <v>30</v>
      </c>
      <c r="C67" s="68" t="s">
        <v>72</v>
      </c>
      <c r="D67" s="14">
        <v>49</v>
      </c>
      <c r="E67" s="14"/>
      <c r="F67" s="38" t="s">
        <v>73</v>
      </c>
      <c r="G67" s="38">
        <v>0</v>
      </c>
      <c r="H67" s="15">
        <v>-107036.11</v>
      </c>
      <c r="I67" s="15">
        <v>2192.6999999999998</v>
      </c>
      <c r="J67" s="39">
        <f t="shared" si="11"/>
        <v>49787.73</v>
      </c>
      <c r="K67" s="15">
        <f>49787.73-L67-M67</f>
        <v>33845.130000000005</v>
      </c>
      <c r="L67" s="15">
        <f>531.42*12</f>
        <v>6377.0399999999991</v>
      </c>
      <c r="M67" s="11">
        <v>9565.56</v>
      </c>
      <c r="N67" s="39">
        <f t="shared" si="12"/>
        <v>48838.41</v>
      </c>
      <c r="O67" s="15">
        <v>48838.41</v>
      </c>
      <c r="P67" s="15"/>
      <c r="Q67" s="15"/>
      <c r="R67" s="15">
        <v>0</v>
      </c>
      <c r="S67" s="15"/>
      <c r="T67" s="16">
        <f t="shared" si="13"/>
        <v>-58197.7</v>
      </c>
      <c r="U67" s="15">
        <v>0</v>
      </c>
      <c r="V67" s="15">
        <v>-122914.38</v>
      </c>
      <c r="W67" s="15">
        <v>3142.02</v>
      </c>
      <c r="X67" s="11"/>
      <c r="Y67" s="63">
        <f t="shared" si="3"/>
        <v>0</v>
      </c>
      <c r="Z67" s="46">
        <f t="shared" si="14"/>
        <v>48838.41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2:39" x14ac:dyDescent="0.2">
      <c r="B68" s="50">
        <v>31</v>
      </c>
      <c r="C68" s="68" t="s">
        <v>74</v>
      </c>
      <c r="D68" s="14">
        <v>46</v>
      </c>
      <c r="E68" s="14"/>
      <c r="F68" s="38" t="s">
        <v>73</v>
      </c>
      <c r="G68" s="38">
        <v>0</v>
      </c>
      <c r="H68" s="15">
        <v>-64830.13</v>
      </c>
      <c r="I68" s="15">
        <v>19328.5</v>
      </c>
      <c r="J68" s="39">
        <f t="shared" si="11"/>
        <v>47556.339999999989</v>
      </c>
      <c r="K68" s="15">
        <f>47556.34-L68-M68</f>
        <v>31725.939999999995</v>
      </c>
      <c r="L68" s="15">
        <f>527.68*12</f>
        <v>6332.16</v>
      </c>
      <c r="M68" s="11">
        <v>9498.24</v>
      </c>
      <c r="N68" s="39">
        <f t="shared" si="12"/>
        <v>42873.25</v>
      </c>
      <c r="O68" s="15">
        <v>42873.25</v>
      </c>
      <c r="P68" s="15"/>
      <c r="Q68" s="15"/>
      <c r="R68" s="15">
        <v>0</v>
      </c>
      <c r="S68" s="15"/>
      <c r="T68" s="16">
        <f t="shared" si="13"/>
        <v>-21956.879999999997</v>
      </c>
      <c r="U68" s="15">
        <v>0</v>
      </c>
      <c r="V68" s="15">
        <v>-69059.06</v>
      </c>
      <c r="W68" s="15">
        <v>24011.59</v>
      </c>
      <c r="X68" s="11"/>
      <c r="Y68" s="63">
        <f t="shared" si="3"/>
        <v>0</v>
      </c>
      <c r="Z68" s="46">
        <f t="shared" si="14"/>
        <v>42873.25</v>
      </c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2:39" x14ac:dyDescent="0.2">
      <c r="B69" s="50">
        <v>32</v>
      </c>
      <c r="C69" s="68" t="s">
        <v>74</v>
      </c>
      <c r="D69" s="14">
        <v>48</v>
      </c>
      <c r="E69" s="14"/>
      <c r="F69" s="38" t="s">
        <v>73</v>
      </c>
      <c r="G69" s="38">
        <v>0</v>
      </c>
      <c r="H69" s="14">
        <v>-72431.990000000005</v>
      </c>
      <c r="I69" s="14">
        <v>21756.78</v>
      </c>
      <c r="J69" s="39">
        <f t="shared" si="11"/>
        <v>47299.99</v>
      </c>
      <c r="K69" s="15">
        <f>47299.99-L69-M69</f>
        <v>31393.089999999997</v>
      </c>
      <c r="L69" s="15">
        <f>530.23*12</f>
        <v>6362.76</v>
      </c>
      <c r="M69" s="1">
        <v>9544.14</v>
      </c>
      <c r="N69" s="39">
        <f t="shared" si="12"/>
        <v>55318.85</v>
      </c>
      <c r="O69" s="14">
        <v>55318.85</v>
      </c>
      <c r="P69" s="14"/>
      <c r="Q69" s="14"/>
      <c r="R69" s="15">
        <v>0</v>
      </c>
      <c r="S69" s="14"/>
      <c r="T69" s="16">
        <f t="shared" si="13"/>
        <v>-17113.140000000007</v>
      </c>
      <c r="U69" s="14">
        <v>0</v>
      </c>
      <c r="V69" s="14">
        <v>-64652.91</v>
      </c>
      <c r="W69" s="14">
        <v>13737.92</v>
      </c>
      <c r="Y69" s="63">
        <f t="shared" si="3"/>
        <v>0</v>
      </c>
      <c r="Z69" s="46">
        <f t="shared" si="14"/>
        <v>55318.85</v>
      </c>
    </row>
    <row r="70" spans="2:39" x14ac:dyDescent="0.2">
      <c r="B70" s="50">
        <v>33</v>
      </c>
      <c r="C70" s="68" t="s">
        <v>74</v>
      </c>
      <c r="D70" s="14">
        <v>50</v>
      </c>
      <c r="E70" s="14"/>
      <c r="F70" s="38" t="s">
        <v>73</v>
      </c>
      <c r="G70" s="38">
        <v>0</v>
      </c>
      <c r="H70" s="14">
        <v>-75334.14</v>
      </c>
      <c r="I70" s="14">
        <v>2034.01</v>
      </c>
      <c r="J70" s="39">
        <f t="shared" si="11"/>
        <v>42345.18</v>
      </c>
      <c r="K70" s="15">
        <f>42345.18-L70-M70</f>
        <v>26377.08</v>
      </c>
      <c r="L70" s="15">
        <f>532.27*12</f>
        <v>6387.24</v>
      </c>
      <c r="M70" s="1">
        <v>9580.86</v>
      </c>
      <c r="N70" s="39">
        <f t="shared" si="12"/>
        <v>38894.26</v>
      </c>
      <c r="O70" s="14">
        <v>38894.26</v>
      </c>
      <c r="P70" s="14"/>
      <c r="Q70" s="14"/>
      <c r="R70" s="15">
        <v>0</v>
      </c>
      <c r="S70" s="14"/>
      <c r="T70" s="16">
        <f t="shared" si="13"/>
        <v>-36439.879999999997</v>
      </c>
      <c r="U70" s="14">
        <v>1647.42</v>
      </c>
      <c r="V70" s="14">
        <v>-84041.03</v>
      </c>
      <c r="W70" s="14">
        <v>7132.35</v>
      </c>
      <c r="Y70" s="63">
        <f t="shared" si="3"/>
        <v>0</v>
      </c>
      <c r="Z70" s="46">
        <f t="shared" si="14"/>
        <v>38894.26</v>
      </c>
    </row>
    <row r="71" spans="2:39" x14ac:dyDescent="0.2">
      <c r="B71" s="50">
        <v>34</v>
      </c>
      <c r="C71" s="68" t="s">
        <v>74</v>
      </c>
      <c r="D71" s="14">
        <v>52</v>
      </c>
      <c r="E71" s="14"/>
      <c r="F71" s="38" t="s">
        <v>73</v>
      </c>
      <c r="G71" s="38">
        <v>0</v>
      </c>
      <c r="H71" s="14">
        <v>-74639.78</v>
      </c>
      <c r="I71" s="14">
        <v>24272.35</v>
      </c>
      <c r="J71" s="39">
        <f t="shared" si="11"/>
        <v>47303.73000000001</v>
      </c>
      <c r="K71" s="15">
        <f>47303.73-L71-M71</f>
        <v>31389.120000000006</v>
      </c>
      <c r="L71" s="15">
        <f>530.49*12</f>
        <v>6365.88</v>
      </c>
      <c r="M71" s="1">
        <v>9548.73</v>
      </c>
      <c r="N71" s="39">
        <f t="shared" si="12"/>
        <v>42553.33</v>
      </c>
      <c r="O71" s="14">
        <v>42553.33</v>
      </c>
      <c r="P71" s="14"/>
      <c r="Q71" s="14"/>
      <c r="R71" s="15">
        <v>0</v>
      </c>
      <c r="S71" s="14"/>
      <c r="T71" s="16">
        <f t="shared" si="13"/>
        <v>-32086.449999999997</v>
      </c>
      <c r="U71" s="14">
        <v>0</v>
      </c>
      <c r="V71" s="14">
        <v>-79689.899999999994</v>
      </c>
      <c r="W71" s="14">
        <v>29022.75</v>
      </c>
      <c r="Y71" s="63">
        <f t="shared" si="3"/>
        <v>0</v>
      </c>
      <c r="Z71" s="46">
        <f t="shared" si="14"/>
        <v>42553.33</v>
      </c>
    </row>
    <row r="74" spans="2:39" x14ac:dyDescent="0.2">
      <c r="H74" s="11">
        <f>SUM(H13:H71)</f>
        <v>-4927169.7600000007</v>
      </c>
      <c r="V74" s="11">
        <f>SUM(V13:V71)</f>
        <v>-4808920.3599999994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G7:I7"/>
    <mergeCell ref="J7:M7"/>
    <mergeCell ref="N7:S7"/>
    <mergeCell ref="T7:T9"/>
    <mergeCell ref="U7:W7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U8:U9"/>
    <mergeCell ref="V8:V9"/>
    <mergeCell ref="W8:W9"/>
    <mergeCell ref="B8:F8"/>
    <mergeCell ref="G8:G9"/>
    <mergeCell ref="H8:H9"/>
    <mergeCell ref="I8:I9"/>
    <mergeCell ref="J8:J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управлении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building_report_general</cp:keywords>
  <dc:description/>
  <cp:lastModifiedBy>Пользователь Windows</cp:lastModifiedBy>
  <dcterms:created xsi:type="dcterms:W3CDTF">2015-07-06T11:16:37Z</dcterms:created>
  <dcterms:modified xsi:type="dcterms:W3CDTF">2018-04-24T02:42:59Z</dcterms:modified>
  <cp:category/>
</cp:coreProperties>
</file>